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22" activeTab="1"/>
  </bookViews>
  <sheets>
    <sheet name="потребность гс 2023" sheetId="1" r:id="rId1"/>
    <sheet name="1-е чтение ГС" sheetId="2" r:id="rId2"/>
  </sheets>
  <definedNames/>
  <calcPr fullCalcOnLoad="1"/>
</workbook>
</file>

<file path=xl/sharedStrings.xml><?xml version="1.0" encoding="utf-8"?>
<sst xmlns="http://schemas.openxmlformats.org/spreadsheetml/2006/main" count="266" uniqueCount="145">
  <si>
    <t>Учреждения</t>
  </si>
  <si>
    <t>З/п с начислениями</t>
  </si>
  <si>
    <t>Вид учреждения</t>
  </si>
  <si>
    <t>Школы</t>
  </si>
  <si>
    <t>ИТОГО по школам</t>
  </si>
  <si>
    <t>Детские сады</t>
  </si>
  <si>
    <t>ИТОГО по д/садам</t>
  </si>
  <si>
    <t>№</t>
  </si>
  <si>
    <t>ВСЕГО</t>
  </si>
  <si>
    <t>Барабановская</t>
  </si>
  <si>
    <t>Берестовская</t>
  </si>
  <si>
    <t>Герасимовская</t>
  </si>
  <si>
    <t>Кулагинская</t>
  </si>
  <si>
    <t>Кутушевская</t>
  </si>
  <si>
    <t>Кувайская</t>
  </si>
  <si>
    <t>Лапазская</t>
  </si>
  <si>
    <t>Мустаевская</t>
  </si>
  <si>
    <t>Новосергиевская 3</t>
  </si>
  <si>
    <t>Новосергиевская 4</t>
  </si>
  <si>
    <t>Нестеровская</t>
  </si>
  <si>
    <t>Платовская</t>
  </si>
  <si>
    <t>Покровская</t>
  </si>
  <si>
    <t>Рыбкинская</t>
  </si>
  <si>
    <t>Сузановская</t>
  </si>
  <si>
    <t>Ст.белогорка</t>
  </si>
  <si>
    <t>Судьбодаровка</t>
  </si>
  <si>
    <t>Уранская</t>
  </si>
  <si>
    <t>Хуторская</t>
  </si>
  <si>
    <t>Электрозаводская</t>
  </si>
  <si>
    <t>Ахмеровская</t>
  </si>
  <si>
    <t>В.платовская</t>
  </si>
  <si>
    <t>Горная</t>
  </si>
  <si>
    <t>Землянская</t>
  </si>
  <si>
    <t>Козловская</t>
  </si>
  <si>
    <t>Ключевская</t>
  </si>
  <si>
    <t>Мрясовская</t>
  </si>
  <si>
    <t>Новокинделька</t>
  </si>
  <si>
    <t>Привольненская</t>
  </si>
  <si>
    <t>Ржавская</t>
  </si>
  <si>
    <t>Хлебовская</t>
  </si>
  <si>
    <t>К.полянская</t>
  </si>
  <si>
    <t>Новосергиевская 1</t>
  </si>
  <si>
    <t>Новосергиевская 2</t>
  </si>
  <si>
    <t>Потребность в средствах МЕСТНОГО БЮДЖЕТА на образование по РОО на 2019 год.</t>
  </si>
  <si>
    <t>шт.ед</t>
  </si>
  <si>
    <t>фот в м-ц</t>
  </si>
  <si>
    <t>З/п с начислениями АУП</t>
  </si>
  <si>
    <t>Канцтовары</t>
  </si>
  <si>
    <t>Берестовская дошк гр</t>
  </si>
  <si>
    <t>Кулагинская дошк гр</t>
  </si>
  <si>
    <t>Кутушевская дошк гр</t>
  </si>
  <si>
    <t>Новосергиевская 4 дошк гр</t>
  </si>
  <si>
    <t>Сузановская дошк гр</t>
  </si>
  <si>
    <t>Ст.белогорка дошк гр</t>
  </si>
  <si>
    <t>Хуторская дошк гр</t>
  </si>
  <si>
    <t>Землянская дошк гр</t>
  </si>
  <si>
    <t>АУП (заведующий) + (дир)</t>
  </si>
  <si>
    <t>фот в год</t>
  </si>
  <si>
    <t>год</t>
  </si>
  <si>
    <t>Соотношение долей ФОТ в гс и мб</t>
  </si>
  <si>
    <t>АУП (зам дир)</t>
  </si>
  <si>
    <t>ИТОГО по дошк гр</t>
  </si>
  <si>
    <t>Всего дс и дош гр</t>
  </si>
  <si>
    <t>З/п с начислениями АУП 100%</t>
  </si>
  <si>
    <t>УВП сады 81%, шк 100%</t>
  </si>
  <si>
    <t>000.00.00</t>
  </si>
  <si>
    <t>221.00.00</t>
  </si>
  <si>
    <t>112   266</t>
  </si>
  <si>
    <t>112    212</t>
  </si>
  <si>
    <t>112   226</t>
  </si>
  <si>
    <t>Учеба ПП</t>
  </si>
  <si>
    <t>Заправка картриджей</t>
  </si>
  <si>
    <t>Пособия от 1,5 до 3 лет</t>
  </si>
  <si>
    <t>Интернет</t>
  </si>
  <si>
    <t>Лысенкова</t>
  </si>
  <si>
    <t>Воропаева</t>
  </si>
  <si>
    <t>Каширская</t>
  </si>
  <si>
    <t>Учеба</t>
  </si>
  <si>
    <t>210.00.01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</si>
  <si>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</si>
  <si>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</si>
  <si>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</si>
  <si>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</si>
  <si>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</si>
  <si>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</si>
  <si>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</si>
  <si>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</si>
  <si>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</si>
  <si>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</si>
  <si>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</si>
  <si>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</si>
  <si>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МДОБУ "Детский сад №1 "Светлячок"</t>
  </si>
  <si>
    <t>МДОБУ "Детский сад №2 "Родничок"</t>
  </si>
  <si>
    <t>МДОБУ "Детский сад №4 "Солнышко"</t>
  </si>
  <si>
    <t>МДОБУ "Детский сад "Снежок"</t>
  </si>
  <si>
    <t>МДОБУ "Детский сад "Тополек"</t>
  </si>
  <si>
    <t>МДОБУ "Детский сад "Малышок"</t>
  </si>
  <si>
    <t>МДОБУ "Детский сад "Ромашка"</t>
  </si>
  <si>
    <t>МДОБУ "Детский сад "Теремок" Судьбодаровский</t>
  </si>
  <si>
    <t>МДОБУ "Детский сад "Радуга"</t>
  </si>
  <si>
    <t>МДОБУ "Детский сад "Ручеек"</t>
  </si>
  <si>
    <t>МДОБУ "Детский сад "Улыбка"</t>
  </si>
  <si>
    <t>МДОБУ "Детский сад "Мальвина"</t>
  </si>
  <si>
    <t xml:space="preserve">МДОБУ "Детский сад "Солнышко" Кувай </t>
  </si>
  <si>
    <t>МДОАУ "Детский сад "Непоседа"с.Герасимовка</t>
  </si>
  <si>
    <t>МДОАУ Детский сад №3 "Теремок"</t>
  </si>
  <si>
    <t>МДОАУ "Детский сад "Дюймовочка" п.Среднеуранский</t>
  </si>
  <si>
    <t>МДОАУ Детский сад №5 "Буратино"</t>
  </si>
  <si>
    <t>доу</t>
  </si>
  <si>
    <t>оу</t>
  </si>
  <si>
    <t>бюджет</t>
  </si>
  <si>
    <t>Приобретение оборудования, журналов, уч пособий (Учтехкомплект, Центр уч оборудования, ИП Цыганкова)</t>
  </si>
  <si>
    <t>бланки (Киржачка)+ медаль (АРМ регистр)</t>
  </si>
  <si>
    <t>з пл в мес</t>
  </si>
  <si>
    <t>Запас</t>
  </si>
  <si>
    <t>на доу снять</t>
  </si>
  <si>
    <t>инт в мес</t>
  </si>
  <si>
    <t>фот в м-ц (на 01.09.22)</t>
  </si>
  <si>
    <t>5,5% индексац с 01.01.23</t>
  </si>
  <si>
    <t>фот в м-ц с учетом индексац</t>
  </si>
  <si>
    <t>УВП (пом воспит) в ДОУ; (пом восп, библ, лаб) в ОУ</t>
  </si>
  <si>
    <t>в месяц</t>
  </si>
  <si>
    <t>в год</t>
  </si>
  <si>
    <t>Договор ГПХ на замещение воспитателя (в учреждении, где один воспитатель)</t>
  </si>
  <si>
    <t>Суточные (200)</t>
  </si>
  <si>
    <t>суточные</t>
  </si>
  <si>
    <t>Проживание (500 сутки), проезд (300*2)</t>
  </si>
  <si>
    <t>кол-во человек</t>
  </si>
  <si>
    <t>ко-во дней</t>
  </si>
  <si>
    <t>проезд</t>
  </si>
  <si>
    <t>проживание</t>
  </si>
  <si>
    <t>проезд+проживание</t>
  </si>
  <si>
    <t>Сумма суточных</t>
  </si>
  <si>
    <t>проезд 300*2</t>
  </si>
  <si>
    <t>Стоимость проезда</t>
  </si>
  <si>
    <t>За проживание</t>
  </si>
  <si>
    <t>Стоимость проживания</t>
  </si>
  <si>
    <t>100% ГС</t>
  </si>
  <si>
    <t xml:space="preserve">АУП </t>
  </si>
  <si>
    <t>сады 70%, шк 27%</t>
  </si>
  <si>
    <t>ПП</t>
  </si>
  <si>
    <t>ПП премия (до достижения средн зарплаты, без коммун и без фед кл рук)</t>
  </si>
  <si>
    <t>итого зарплата (год)</t>
  </si>
  <si>
    <t>ПП (по шт расписанию без фед кл рук, без советн дир) все, ГОД</t>
  </si>
  <si>
    <t>244    226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</si>
</sst>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0.0"/>
    <numFmt numFmtId="176" formatCode="000\.00\.000\.0"/>
    <numFmt numFmtId="177" formatCode="0000"/>
    <numFmt numFmtId="178" formatCode="000"/>
    <numFmt numFmtId="179" formatCode="0000000000"/>
    <numFmt numFmtId="180" formatCode="000\.00\.00"/>
    <numFmt numFmtId="181" formatCode="00\.00\.00"/>
    <numFmt numFmtId="182" formatCode="0\.00\.0"/>
    <numFmt numFmtId="183" formatCode="000\.00\.0000"/>
    <numFmt numFmtId="184" formatCode="0\.00"/>
    <numFmt numFmtId="185" formatCode="#,##0.00;[Red]\-#,##0.00;0.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6"/>
      <color indexed="10"/>
      <name val="Calibri"/>
      <family val="2"/>
    </font>
    <font>
      <sz val="18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6"/>
      <color rgb="FFFF0000"/>
      <name val="Calibri"/>
      <family val="2"/>
    </font>
    <font>
      <sz val="18"/>
      <color rgb="FFFF0000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/>
      <protection/>
    </xf>
    <xf numFmtId="4" fontId="2" fillId="19" borderId="10" xfId="0" applyNumberFormat="1" applyFont="1" applyFill="1" applyBorder="1" applyAlignment="1" applyProtection="1">
      <alignment/>
      <protection/>
    </xf>
    <xf numFmtId="4" fontId="0" fillId="19" borderId="10" xfId="0" applyNumberFormat="1" applyFont="1" applyFill="1" applyBorder="1" applyAlignment="1">
      <alignment horizontal="right" vertical="center"/>
    </xf>
    <xf numFmtId="4" fontId="4" fillId="19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4" fontId="0" fillId="34" borderId="0" xfId="0" applyNumberFormat="1" applyFill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19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>
      <alignment horizontal="center"/>
    </xf>
    <xf numFmtId="4" fontId="0" fillId="19" borderId="10" xfId="0" applyNumberFormat="1" applyFont="1" applyFill="1" applyBorder="1" applyAlignment="1">
      <alignment horizontal="center"/>
    </xf>
    <xf numFmtId="4" fontId="0" fillId="12" borderId="10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 horizontal="center"/>
    </xf>
    <xf numFmtId="4" fontId="9" fillId="19" borderId="10" xfId="0" applyNumberFormat="1" applyFont="1" applyFill="1" applyBorder="1" applyAlignment="1">
      <alignment horizontal="center"/>
    </xf>
    <xf numFmtId="4" fontId="0" fillId="13" borderId="0" xfId="0" applyNumberFormat="1" applyFill="1" applyAlignment="1">
      <alignment/>
    </xf>
    <xf numFmtId="4" fontId="9" fillId="19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8" fillId="19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/>
    </xf>
    <xf numFmtId="4" fontId="8" fillId="19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vertical="center" textRotation="90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9" borderId="10" xfId="0" applyFont="1" applyFill="1" applyBorder="1" applyAlignment="1">
      <alignment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19" borderId="10" xfId="0" applyFont="1" applyFill="1" applyBorder="1" applyAlignment="1">
      <alignment horizontal="center"/>
    </xf>
    <xf numFmtId="0" fontId="0" fillId="12" borderId="0" xfId="0" applyFont="1" applyFill="1" applyAlignment="1">
      <alignment/>
    </xf>
    <xf numFmtId="4" fontId="52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4" fontId="8" fillId="34" borderId="1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9" fillId="0" borderId="10" xfId="0" applyNumberFormat="1" applyFont="1" applyBorder="1" applyAlignment="1">
      <alignment/>
    </xf>
    <xf numFmtId="4" fontId="9" fillId="19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19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12" borderId="10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0" fillId="34" borderId="14" xfId="0" applyFont="1" applyFill="1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19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 horizontal="center"/>
    </xf>
    <xf numFmtId="4" fontId="52" fillId="12" borderId="10" xfId="0" applyNumberFormat="1" applyFont="1" applyFill="1" applyBorder="1" applyAlignment="1">
      <alignment horizontal="center"/>
    </xf>
    <xf numFmtId="4" fontId="52" fillId="34" borderId="12" xfId="0" applyNumberFormat="1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" fontId="0" fillId="12" borderId="15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5" fillId="0" borderId="14" xfId="0" applyNumberFormat="1" applyFont="1" applyBorder="1" applyAlignment="1">
      <alignment horizontal="center" vertical="center"/>
    </xf>
    <xf numFmtId="4" fontId="0" fillId="12" borderId="12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50" fillId="33" borderId="0" xfId="0" applyNumberFormat="1" applyFont="1" applyFill="1" applyAlignment="1">
      <alignment/>
    </xf>
    <xf numFmtId="0" fontId="8" fillId="17" borderId="14" xfId="0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 applyProtection="1">
      <alignment/>
      <protection/>
    </xf>
    <xf numFmtId="10" fontId="2" fillId="19" borderId="10" xfId="0" applyNumberFormat="1" applyFont="1" applyFill="1" applyBorder="1" applyAlignment="1" applyProtection="1">
      <alignment/>
      <protection/>
    </xf>
    <xf numFmtId="4" fontId="13" fillId="33" borderId="10" xfId="0" applyNumberFormat="1" applyFont="1" applyFill="1" applyBorder="1" applyAlignment="1">
      <alignment horizontal="right" vertical="center"/>
    </xf>
    <xf numFmtId="4" fontId="53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 applyProtection="1">
      <alignment/>
      <protection/>
    </xf>
    <xf numFmtId="4" fontId="54" fillId="33" borderId="0" xfId="0" applyNumberFormat="1" applyFont="1" applyFill="1" applyAlignment="1">
      <alignment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/>
    </xf>
    <xf numFmtId="4" fontId="8" fillId="12" borderId="10" xfId="0" applyNumberFormat="1" applyFont="1" applyFill="1" applyBorder="1" applyAlignment="1">
      <alignment horizontal="center"/>
    </xf>
    <xf numFmtId="4" fontId="16" fillId="0" borderId="12" xfId="0" applyNumberFormat="1" applyFont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" fontId="8" fillId="13" borderId="0" xfId="0" applyNumberFormat="1" applyFont="1" applyFill="1" applyAlignment="1">
      <alignment/>
    </xf>
    <xf numFmtId="4" fontId="9" fillId="0" borderId="10" xfId="0" applyNumberFormat="1" applyFont="1" applyBorder="1" applyAlignment="1">
      <alignment horizontal="center"/>
    </xf>
    <xf numFmtId="4" fontId="9" fillId="35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4" fontId="8" fillId="19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" fontId="0" fillId="19" borderId="15" xfId="0" applyNumberFormat="1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4" fontId="9" fillId="19" borderId="11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4" fontId="9" fillId="13" borderId="0" xfId="0" applyNumberFormat="1" applyFont="1" applyFill="1" applyAlignment="1">
      <alignment/>
    </xf>
    <xf numFmtId="4" fontId="43" fillId="35" borderId="11" xfId="0" applyNumberFormat="1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15" borderId="10" xfId="0" applyNumberFormat="1" applyFont="1" applyFill="1" applyBorder="1" applyAlignment="1">
      <alignment horizontal="center" vertical="center" wrapText="1"/>
    </xf>
    <xf numFmtId="4" fontId="9" fillId="15" borderId="11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/>
    </xf>
    <xf numFmtId="0" fontId="8" fillId="15" borderId="12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4" fontId="8" fillId="35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12" borderId="15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" fontId="8" fillId="17" borderId="15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CO83"/>
  <sheetViews>
    <sheetView zoomScalePageLayoutView="0" workbookViewId="0" topLeftCell="C1">
      <selection activeCell="AF1" sqref="AF1:AK16384"/>
    </sheetView>
  </sheetViews>
  <sheetFormatPr defaultColWidth="9.140625" defaultRowHeight="15"/>
  <cols>
    <col min="1" max="2" width="4.00390625" style="0" customWidth="1"/>
    <col min="3" max="3" width="28.8515625" style="0" customWidth="1"/>
    <col min="4" max="6" width="13.57421875" style="6" hidden="1" customWidth="1"/>
    <col min="7" max="7" width="14.8515625" style="6" hidden="1" customWidth="1"/>
    <col min="8" max="8" width="13.7109375" style="6" hidden="1" customWidth="1"/>
    <col min="9" max="9" width="14.421875" style="6" hidden="1" customWidth="1"/>
    <col min="10" max="10" width="15.421875" style="6" hidden="1" customWidth="1"/>
    <col min="11" max="16" width="14.421875" style="6" hidden="1" customWidth="1"/>
    <col min="17" max="17" width="7.8515625" style="97" hidden="1" customWidth="1"/>
    <col min="18" max="18" width="14.7109375" style="66" hidden="1" customWidth="1"/>
    <col min="19" max="19" width="14.00390625" style="66" hidden="1" customWidth="1"/>
    <col min="20" max="20" width="14.8515625" style="66" hidden="1" customWidth="1"/>
    <col min="21" max="21" width="16.140625" style="66" hidden="1" customWidth="1"/>
    <col min="22" max="22" width="16.140625" style="27" hidden="1" customWidth="1"/>
    <col min="23" max="23" width="13.7109375" style="27" hidden="1" customWidth="1"/>
    <col min="24" max="25" width="17.7109375" style="16" hidden="1" customWidth="1"/>
    <col min="26" max="26" width="10.140625" style="38" hidden="1" customWidth="1"/>
    <col min="27" max="27" width="10.140625" style="16" hidden="1" customWidth="1"/>
    <col min="28" max="28" width="13.140625" style="27" hidden="1" customWidth="1"/>
    <col min="29" max="29" width="14.421875" style="16" customWidth="1"/>
    <col min="30" max="30" width="14.7109375" style="16" customWidth="1"/>
    <col min="31" max="31" width="13.7109375" style="16" customWidth="1"/>
    <col min="32" max="32" width="12.140625" style="38" hidden="1" customWidth="1"/>
    <col min="33" max="33" width="14.7109375" style="16" hidden="1" customWidth="1"/>
    <col min="34" max="34" width="15.00390625" style="38" hidden="1" customWidth="1"/>
    <col min="35" max="35" width="12.421875" style="16" hidden="1" customWidth="1"/>
    <col min="36" max="36" width="14.00390625" style="16" hidden="1" customWidth="1"/>
    <col min="37" max="37" width="16.00390625" style="16" hidden="1" customWidth="1"/>
    <col min="38" max="38" width="22.8515625" style="0" customWidth="1"/>
    <col min="39" max="41" width="11.8515625" style="0" customWidth="1"/>
    <col min="42" max="42" width="15.28125" style="6" customWidth="1"/>
    <col min="43" max="46" width="11.8515625" style="0" customWidth="1"/>
    <col min="47" max="47" width="13.421875" style="6" customWidth="1"/>
    <col min="48" max="48" width="13.28125" style="6" customWidth="1"/>
    <col min="49" max="50" width="11.8515625" style="6" customWidth="1"/>
    <col min="51" max="51" width="11.421875" style="0" customWidth="1"/>
    <col min="52" max="54" width="9.140625" style="0" customWidth="1"/>
    <col min="55" max="55" width="11.421875" style="0" customWidth="1"/>
    <col min="56" max="56" width="11.7109375" style="0" customWidth="1"/>
    <col min="57" max="57" width="9.140625" style="0" customWidth="1"/>
    <col min="58" max="58" width="13.8515625" style="0" customWidth="1"/>
    <col min="59" max="59" width="14.140625" style="0" customWidth="1"/>
    <col min="60" max="60" width="14.00390625" style="0" customWidth="1"/>
    <col min="61" max="61" width="9.140625" style="0" customWidth="1"/>
    <col min="62" max="62" width="12.00390625" style="0" customWidth="1"/>
    <col min="63" max="63" width="13.57421875" style="0" customWidth="1"/>
    <col min="64" max="64" width="9.28125" style="0" customWidth="1"/>
    <col min="65" max="67" width="13.140625" style="0" customWidth="1"/>
    <col min="68" max="68" width="9.140625" style="0" customWidth="1"/>
    <col min="69" max="69" width="10.421875" style="0" customWidth="1"/>
    <col min="70" max="70" width="11.421875" style="0" customWidth="1"/>
    <col min="71" max="71" width="11.57421875" style="0" customWidth="1"/>
    <col min="72" max="72" width="14.8515625" style="0" customWidth="1"/>
    <col min="73" max="73" width="14.57421875" style="0" customWidth="1"/>
    <col min="74" max="74" width="9.140625" style="0" customWidth="1"/>
    <col min="75" max="76" width="12.421875" style="0" customWidth="1"/>
    <col min="77" max="77" width="9.140625" style="0" customWidth="1"/>
    <col min="78" max="78" width="9.140625" style="0" hidden="1" customWidth="1"/>
    <col min="79" max="79" width="9.7109375" style="0" hidden="1" customWidth="1"/>
    <col min="80" max="80" width="10.00390625" style="0" hidden="1" customWidth="1"/>
    <col min="81" max="81" width="12.140625" style="0" hidden="1" customWidth="1"/>
    <col min="82" max="82" width="10.421875" style="0" hidden="1" customWidth="1"/>
    <col min="83" max="83" width="5.57421875" style="0" hidden="1" customWidth="1"/>
    <col min="84" max="84" width="5.00390625" style="0" hidden="1" customWidth="1"/>
    <col min="85" max="85" width="9.7109375" style="0" hidden="1" customWidth="1"/>
    <col min="86" max="86" width="10.421875" style="0" hidden="1" customWidth="1"/>
    <col min="87" max="87" width="11.140625" style="0" hidden="1" customWidth="1"/>
    <col min="88" max="88" width="4.57421875" style="0" hidden="1" customWidth="1"/>
    <col min="89" max="89" width="4.8515625" style="0" hidden="1" customWidth="1"/>
    <col min="90" max="90" width="11.8515625" style="0" hidden="1" customWidth="1"/>
    <col min="91" max="91" width="11.00390625" style="0" hidden="1" customWidth="1"/>
    <col min="92" max="92" width="12.57421875" style="0" customWidth="1"/>
    <col min="93" max="93" width="11.57421875" style="0" hidden="1" customWidth="1"/>
    <col min="94" max="94" width="11.8515625" style="0" hidden="1" customWidth="1"/>
    <col min="95" max="95" width="11.00390625" style="0" hidden="1" customWidth="1"/>
    <col min="96" max="96" width="0" style="0" hidden="1" customWidth="1"/>
    <col min="97" max="97" width="11.57421875" style="0" hidden="1" customWidth="1"/>
  </cols>
  <sheetData>
    <row r="1" spans="26:31" ht="15">
      <c r="Z1" s="38" t="s">
        <v>75</v>
      </c>
      <c r="AB1" s="27" t="s">
        <v>76</v>
      </c>
      <c r="AC1" s="181" t="s">
        <v>74</v>
      </c>
      <c r="AD1" s="181"/>
      <c r="AE1" s="181"/>
    </row>
    <row r="2" spans="2:30" ht="18" customHeight="1">
      <c r="B2" s="5"/>
      <c r="C2" s="5"/>
      <c r="D2" s="7"/>
      <c r="E2" s="7"/>
      <c r="F2" s="7"/>
      <c r="G2" s="7"/>
      <c r="H2" s="7"/>
      <c r="I2" s="8" t="s">
        <v>59</v>
      </c>
      <c r="J2" s="8"/>
      <c r="K2" s="8"/>
      <c r="L2" s="8"/>
      <c r="M2" s="8"/>
      <c r="N2" s="8"/>
      <c r="O2" s="8"/>
      <c r="P2" s="8"/>
      <c r="Q2" s="107"/>
      <c r="R2" s="108"/>
      <c r="S2" s="108"/>
      <c r="T2" s="109" t="s">
        <v>43</v>
      </c>
      <c r="U2" s="109"/>
      <c r="V2" s="77"/>
      <c r="W2" s="77"/>
      <c r="AC2" s="128"/>
      <c r="AD2" s="128"/>
    </row>
    <row r="3" spans="4:50" s="26" customFormat="1" ht="39.75" customHeight="1">
      <c r="D3" s="185" t="s">
        <v>56</v>
      </c>
      <c r="E3" s="186"/>
      <c r="F3" s="186"/>
      <c r="G3" s="187"/>
      <c r="H3" s="187"/>
      <c r="I3" s="188"/>
      <c r="J3" s="78"/>
      <c r="K3" s="185" t="s">
        <v>60</v>
      </c>
      <c r="L3" s="186"/>
      <c r="M3" s="186"/>
      <c r="N3" s="187"/>
      <c r="O3" s="187"/>
      <c r="P3" s="188"/>
      <c r="Q3" s="189" t="s">
        <v>120</v>
      </c>
      <c r="R3" s="190"/>
      <c r="S3" s="190"/>
      <c r="T3" s="191"/>
      <c r="U3" s="98"/>
      <c r="V3" s="160" t="s">
        <v>140</v>
      </c>
      <c r="W3" s="161"/>
      <c r="X3" s="50"/>
      <c r="Y3" s="125">
        <v>226</v>
      </c>
      <c r="Z3" s="121" t="s">
        <v>67</v>
      </c>
      <c r="AA3" s="123"/>
      <c r="AB3" s="119">
        <v>221</v>
      </c>
      <c r="AC3" s="50" t="s">
        <v>68</v>
      </c>
      <c r="AD3" s="50" t="s">
        <v>69</v>
      </c>
      <c r="AE3" s="125">
        <v>226</v>
      </c>
      <c r="AF3" s="141">
        <v>225</v>
      </c>
      <c r="AG3" s="142">
        <v>346</v>
      </c>
      <c r="AH3" s="143">
        <v>310</v>
      </c>
      <c r="AI3" s="142">
        <v>349</v>
      </c>
      <c r="AJ3" s="142">
        <v>346</v>
      </c>
      <c r="AK3" s="16"/>
      <c r="AM3" s="152" t="s">
        <v>77</v>
      </c>
      <c r="AN3" s="152"/>
      <c r="AO3" s="152"/>
      <c r="AP3" s="152"/>
      <c r="AQ3" s="152"/>
      <c r="AR3" s="152"/>
      <c r="AS3" s="152"/>
      <c r="AT3" s="152"/>
      <c r="AU3" s="152"/>
      <c r="AV3" s="152"/>
      <c r="AW3" s="80"/>
      <c r="AX3" s="80"/>
    </row>
    <row r="4" spans="1:91" s="54" customFormat="1" ht="43.5" customHeight="1">
      <c r="A4" s="53" t="s">
        <v>7</v>
      </c>
      <c r="B4" s="53" t="s">
        <v>2</v>
      </c>
      <c r="C4" s="53" t="s">
        <v>0</v>
      </c>
      <c r="D4" s="154" t="s">
        <v>117</v>
      </c>
      <c r="E4" s="99"/>
      <c r="F4" s="154" t="s">
        <v>119</v>
      </c>
      <c r="G4" s="79">
        <v>211</v>
      </c>
      <c r="H4" s="79">
        <v>213</v>
      </c>
      <c r="I4" s="180" t="s">
        <v>46</v>
      </c>
      <c r="J4" s="146" t="s">
        <v>139</v>
      </c>
      <c r="K4" s="192" t="s">
        <v>45</v>
      </c>
      <c r="L4" s="99"/>
      <c r="M4" s="154" t="s">
        <v>119</v>
      </c>
      <c r="N4" s="96">
        <v>211</v>
      </c>
      <c r="O4" s="96">
        <v>213</v>
      </c>
      <c r="P4" s="194" t="s">
        <v>63</v>
      </c>
      <c r="Q4" s="154" t="s">
        <v>44</v>
      </c>
      <c r="R4" s="110">
        <v>211</v>
      </c>
      <c r="S4" s="110">
        <v>213</v>
      </c>
      <c r="T4" s="179" t="s">
        <v>1</v>
      </c>
      <c r="U4" s="148"/>
      <c r="V4" s="149" t="s">
        <v>137</v>
      </c>
      <c r="W4" s="150" t="s">
        <v>137</v>
      </c>
      <c r="X4" s="157" t="s">
        <v>142</v>
      </c>
      <c r="Y4" s="157" t="s">
        <v>123</v>
      </c>
      <c r="Z4" s="133"/>
      <c r="AA4" s="124" t="s">
        <v>121</v>
      </c>
      <c r="AB4" s="122" t="s">
        <v>122</v>
      </c>
      <c r="AC4" s="126"/>
      <c r="AD4" s="126"/>
      <c r="AE4" s="159" t="s">
        <v>70</v>
      </c>
      <c r="AF4" s="159" t="s">
        <v>71</v>
      </c>
      <c r="AG4" s="174" t="s">
        <v>47</v>
      </c>
      <c r="AH4" s="162" t="s">
        <v>111</v>
      </c>
      <c r="AI4" s="144"/>
      <c r="AJ4" s="144"/>
      <c r="AK4" s="176" t="s">
        <v>8</v>
      </c>
      <c r="AM4" s="117"/>
      <c r="AN4" s="153" t="s">
        <v>125</v>
      </c>
      <c r="AO4" s="153"/>
      <c r="AP4" s="153"/>
      <c r="AQ4" s="153" t="s">
        <v>129</v>
      </c>
      <c r="AR4" s="153"/>
      <c r="AS4" s="153" t="s">
        <v>130</v>
      </c>
      <c r="AT4" s="153"/>
      <c r="AU4" s="153"/>
      <c r="AV4" s="129"/>
      <c r="AW4" s="129"/>
      <c r="AX4" s="129"/>
      <c r="BC4" s="167">
        <v>112266</v>
      </c>
      <c r="BD4" s="167"/>
      <c r="BE4" s="53"/>
      <c r="BF4" s="167">
        <v>244226</v>
      </c>
      <c r="BG4" s="164"/>
      <c r="BH4" s="164"/>
      <c r="BI4" s="53"/>
      <c r="BJ4" s="164">
        <v>225</v>
      </c>
      <c r="BK4" s="164"/>
      <c r="BL4" s="53"/>
      <c r="BM4" s="164">
        <v>310</v>
      </c>
      <c r="BN4" s="164"/>
      <c r="BO4" s="164"/>
      <c r="BP4" s="53"/>
      <c r="BQ4" s="164">
        <v>346</v>
      </c>
      <c r="BR4" s="164"/>
      <c r="BS4" s="164"/>
      <c r="BT4" s="164"/>
      <c r="BU4" s="164"/>
      <c r="BV4" s="53"/>
      <c r="BW4" s="164">
        <v>349</v>
      </c>
      <c r="BX4" s="164"/>
      <c r="CA4" s="165" t="s">
        <v>65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</row>
    <row r="5" spans="1:92" s="89" customFormat="1" ht="62.25" customHeight="1">
      <c r="A5" s="88"/>
      <c r="B5" s="88"/>
      <c r="C5" s="88"/>
      <c r="D5" s="155"/>
      <c r="E5" s="101" t="s">
        <v>118</v>
      </c>
      <c r="F5" s="155"/>
      <c r="G5" s="177" t="s">
        <v>58</v>
      </c>
      <c r="H5" s="177"/>
      <c r="I5" s="180"/>
      <c r="J5" s="147" t="s">
        <v>138</v>
      </c>
      <c r="K5" s="193"/>
      <c r="L5" s="101" t="s">
        <v>118</v>
      </c>
      <c r="M5" s="155"/>
      <c r="N5" s="195" t="s">
        <v>58</v>
      </c>
      <c r="O5" s="195"/>
      <c r="P5" s="194"/>
      <c r="Q5" s="155"/>
      <c r="R5" s="100" t="s">
        <v>57</v>
      </c>
      <c r="S5" s="100" t="s">
        <v>57</v>
      </c>
      <c r="T5" s="179"/>
      <c r="U5" s="134" t="s">
        <v>64</v>
      </c>
      <c r="V5" s="136" t="s">
        <v>143</v>
      </c>
      <c r="W5" s="136" t="s">
        <v>141</v>
      </c>
      <c r="X5" s="158"/>
      <c r="Y5" s="158"/>
      <c r="Z5" s="114" t="s">
        <v>72</v>
      </c>
      <c r="AA5" s="156" t="s">
        <v>73</v>
      </c>
      <c r="AB5" s="156"/>
      <c r="AC5" s="127" t="s">
        <v>124</v>
      </c>
      <c r="AD5" s="127" t="s">
        <v>126</v>
      </c>
      <c r="AE5" s="159"/>
      <c r="AF5" s="159"/>
      <c r="AG5" s="175"/>
      <c r="AH5" s="163"/>
      <c r="AI5" s="49" t="s">
        <v>112</v>
      </c>
      <c r="AJ5" s="49" t="s">
        <v>114</v>
      </c>
      <c r="AK5" s="176"/>
      <c r="AM5" s="15" t="s">
        <v>127</v>
      </c>
      <c r="AN5" s="15" t="s">
        <v>125</v>
      </c>
      <c r="AO5" s="15" t="s">
        <v>128</v>
      </c>
      <c r="AP5" s="131" t="s">
        <v>132</v>
      </c>
      <c r="AQ5" s="15" t="s">
        <v>133</v>
      </c>
      <c r="AR5" s="15" t="s">
        <v>134</v>
      </c>
      <c r="AS5" s="15" t="s">
        <v>135</v>
      </c>
      <c r="AT5" s="15" t="s">
        <v>128</v>
      </c>
      <c r="AU5" s="15" t="s">
        <v>136</v>
      </c>
      <c r="AV5" s="132" t="s">
        <v>131</v>
      </c>
      <c r="AW5" s="130"/>
      <c r="AX5" s="130"/>
      <c r="AY5" s="15" t="s">
        <v>113</v>
      </c>
      <c r="BA5" s="90" t="s">
        <v>116</v>
      </c>
      <c r="BB5" s="90"/>
      <c r="BC5" s="15" t="s">
        <v>79</v>
      </c>
      <c r="BD5" s="15" t="s">
        <v>58</v>
      </c>
      <c r="BE5" s="88"/>
      <c r="BF5" s="15" t="s">
        <v>81</v>
      </c>
      <c r="BG5" s="15" t="s">
        <v>82</v>
      </c>
      <c r="BH5" s="15" t="s">
        <v>58</v>
      </c>
      <c r="BI5" s="88"/>
      <c r="BJ5" s="15" t="s">
        <v>80</v>
      </c>
      <c r="BK5" s="15" t="s">
        <v>58</v>
      </c>
      <c r="BL5" s="88"/>
      <c r="BM5" s="15" t="s">
        <v>85</v>
      </c>
      <c r="BN5" s="15" t="s">
        <v>86</v>
      </c>
      <c r="BO5" s="15" t="s">
        <v>58</v>
      </c>
      <c r="BP5" s="88"/>
      <c r="BQ5" s="15" t="s">
        <v>80</v>
      </c>
      <c r="BR5" s="15" t="s">
        <v>82</v>
      </c>
      <c r="BS5" s="15" t="s">
        <v>87</v>
      </c>
      <c r="BT5" s="15" t="s">
        <v>90</v>
      </c>
      <c r="BU5" s="15" t="s">
        <v>58</v>
      </c>
      <c r="BV5" s="88"/>
      <c r="BW5" s="15" t="s">
        <v>82</v>
      </c>
      <c r="BX5" s="15" t="s">
        <v>58</v>
      </c>
      <c r="CA5" s="90" t="s">
        <v>79</v>
      </c>
      <c r="CB5" s="90" t="s">
        <v>80</v>
      </c>
      <c r="CC5" s="90" t="s">
        <v>81</v>
      </c>
      <c r="CD5" s="90" t="s">
        <v>82</v>
      </c>
      <c r="CE5" s="90" t="s">
        <v>83</v>
      </c>
      <c r="CF5" s="90" t="s">
        <v>84</v>
      </c>
      <c r="CG5" s="90" t="s">
        <v>85</v>
      </c>
      <c r="CH5" s="90" t="s">
        <v>86</v>
      </c>
      <c r="CI5" s="90" t="s">
        <v>87</v>
      </c>
      <c r="CJ5" s="90" t="s">
        <v>88</v>
      </c>
      <c r="CK5" s="90" t="s">
        <v>89</v>
      </c>
      <c r="CL5" s="90" t="s">
        <v>90</v>
      </c>
      <c r="CM5" s="90" t="s">
        <v>58</v>
      </c>
      <c r="CN5" s="90" t="s">
        <v>58</v>
      </c>
    </row>
    <row r="6" spans="1:93" s="26" customFormat="1" ht="15" customHeight="1">
      <c r="A6" s="36">
        <v>1</v>
      </c>
      <c r="B6" s="51" t="s">
        <v>5</v>
      </c>
      <c r="C6" s="2" t="s">
        <v>91</v>
      </c>
      <c r="D6" s="10">
        <v>39157.384999999995</v>
      </c>
      <c r="E6" s="102">
        <v>1.055</v>
      </c>
      <c r="F6" s="10">
        <f>D6*E6</f>
        <v>41311.04117499999</v>
      </c>
      <c r="G6" s="11">
        <f>ROUND((D6*12),2)</f>
        <v>469888.62</v>
      </c>
      <c r="H6" s="10">
        <f>ROUND(G6*30.2/100,2)</f>
        <v>141906.36</v>
      </c>
      <c r="I6" s="28">
        <f>(G6+H6)</f>
        <v>611794.98</v>
      </c>
      <c r="J6" s="13">
        <f>I6*70%</f>
        <v>428256.486</v>
      </c>
      <c r="K6" s="10"/>
      <c r="L6" s="102">
        <v>1.055</v>
      </c>
      <c r="M6" s="10">
        <f>K6*L6</f>
        <v>0</v>
      </c>
      <c r="N6" s="11">
        <f>ROUND((M6*12),2)</f>
        <v>0</v>
      </c>
      <c r="O6" s="10">
        <f>ROUND(N6*30.2/100,2)</f>
        <v>0</v>
      </c>
      <c r="P6" s="12">
        <f>(N6+O6)</f>
        <v>0</v>
      </c>
      <c r="Q6" s="45">
        <v>3.5</v>
      </c>
      <c r="R6" s="10">
        <f>ROUND(Q6*18679*12,2)</f>
        <v>784518</v>
      </c>
      <c r="S6" s="10">
        <f>ROUND(R6*30.2/100,2)</f>
        <v>236924.44</v>
      </c>
      <c r="T6" s="44">
        <f>(R6+S6)</f>
        <v>1021442.44</v>
      </c>
      <c r="U6" s="39">
        <f>T6*81%</f>
        <v>827368.3764000001</v>
      </c>
      <c r="V6" s="44">
        <f>243273.91*12*1.302</f>
        <v>3800911.56984</v>
      </c>
      <c r="W6" s="44">
        <v>0</v>
      </c>
      <c r="X6" s="67">
        <f>(J6+U6+V6+W6+P6)</f>
        <v>5056536.43224</v>
      </c>
      <c r="Y6" s="67"/>
      <c r="Z6" s="67"/>
      <c r="AA6" s="69">
        <v>950</v>
      </c>
      <c r="AB6" s="67">
        <f aca="true" t="shared" si="0" ref="AB6:AB22">AA6*12</f>
        <v>11400</v>
      </c>
      <c r="AC6" s="67"/>
      <c r="AD6" s="67"/>
      <c r="AE6" s="67"/>
      <c r="AF6" s="67">
        <f aca="true" t="shared" si="1" ref="AF6:AF21">300*6</f>
        <v>1800</v>
      </c>
      <c r="AG6" s="67">
        <v>2000</v>
      </c>
      <c r="AH6" s="67">
        <v>30000</v>
      </c>
      <c r="AI6" s="69"/>
      <c r="AJ6" s="69"/>
      <c r="AK6" s="135">
        <f>X6+Z6+AB6+AC6+AD6+AE6+AF6+AG6+AH6+AI6+AJ6+Y6</f>
        <v>5101736.43224</v>
      </c>
      <c r="AM6" s="36"/>
      <c r="AN6" s="36"/>
      <c r="AO6" s="36"/>
      <c r="AP6" s="81"/>
      <c r="AQ6" s="36"/>
      <c r="AR6" s="36"/>
      <c r="AS6" s="36"/>
      <c r="AT6" s="36"/>
      <c r="AU6" s="37"/>
      <c r="AV6" s="81"/>
      <c r="AW6" s="37"/>
      <c r="AX6" s="37"/>
      <c r="AY6" s="37" t="e">
        <f>(J6+#REF!+U6+#REF!+V6+W6)/12</f>
        <v>#REF!</v>
      </c>
      <c r="BA6" s="80">
        <f>AB6/12</f>
        <v>950</v>
      </c>
      <c r="BC6" s="37">
        <f>Z6</f>
        <v>0</v>
      </c>
      <c r="BD6" s="37">
        <f aca="true" t="shared" si="2" ref="BD6:BD22">SUM(BC6:BC6)</f>
        <v>0</v>
      </c>
      <c r="BE6" s="37"/>
      <c r="BF6" s="37">
        <f>(AC6+AD6+AE6)/2</f>
        <v>0</v>
      </c>
      <c r="BG6" s="37">
        <f>BF6</f>
        <v>0</v>
      </c>
      <c r="BH6" s="37">
        <f>BF6+BG6</f>
        <v>0</v>
      </c>
      <c r="BI6" s="37"/>
      <c r="BJ6" s="37">
        <f>AF6</f>
        <v>1800</v>
      </c>
      <c r="BK6" s="37">
        <f>BJ6</f>
        <v>1800</v>
      </c>
      <c r="BL6" s="37"/>
      <c r="BM6" s="37">
        <f>AH6/2</f>
        <v>15000</v>
      </c>
      <c r="BN6" s="37">
        <f>BM6</f>
        <v>15000</v>
      </c>
      <c r="BO6" s="37">
        <f>BM6+BN6</f>
        <v>30000</v>
      </c>
      <c r="BP6" s="36"/>
      <c r="BQ6" s="37">
        <f>AG6</f>
        <v>2000</v>
      </c>
      <c r="BR6" s="36"/>
      <c r="BS6" s="36"/>
      <c r="BT6" s="37">
        <f>AJ6</f>
        <v>0</v>
      </c>
      <c r="BU6" s="37">
        <f aca="true" t="shared" si="3" ref="BU6:BU22">BQ6+BR6+BS6</f>
        <v>2000</v>
      </c>
      <c r="BV6" s="36"/>
      <c r="BW6" s="37">
        <f>AI6</f>
        <v>0</v>
      </c>
      <c r="BX6" s="37">
        <f>BW6</f>
        <v>0</v>
      </c>
      <c r="CA6" s="62">
        <f>BC6</f>
        <v>0</v>
      </c>
      <c r="CB6" s="62">
        <f>BJ6+BQ6</f>
        <v>3800</v>
      </c>
      <c r="CC6" s="62">
        <f>BF6</f>
        <v>0</v>
      </c>
      <c r="CD6" s="62">
        <f>BG6+BR6+BW6</f>
        <v>0</v>
      </c>
      <c r="CE6" s="62"/>
      <c r="CF6" s="62"/>
      <c r="CG6" s="62">
        <f>BM6</f>
        <v>15000</v>
      </c>
      <c r="CH6" s="62">
        <f>BN6</f>
        <v>15000</v>
      </c>
      <c r="CI6" s="62">
        <f>BS6</f>
        <v>0</v>
      </c>
      <c r="CJ6" s="62"/>
      <c r="CK6" s="62"/>
      <c r="CL6" s="62">
        <f>BT6</f>
        <v>0</v>
      </c>
      <c r="CM6" s="62">
        <f>SUM(CA6:CL6)</f>
        <v>33800</v>
      </c>
      <c r="CN6" s="62">
        <f>Z6+AC6+AD6+AE6+AF6+AG6+AH6+AI6+AJ6</f>
        <v>33800</v>
      </c>
      <c r="CO6" s="62">
        <f>CN6-CM6</f>
        <v>0</v>
      </c>
    </row>
    <row r="7" spans="1:93" s="26" customFormat="1" ht="15" customHeight="1">
      <c r="A7" s="36">
        <v>2</v>
      </c>
      <c r="B7" s="51"/>
      <c r="C7" s="3" t="s">
        <v>92</v>
      </c>
      <c r="D7" s="10">
        <v>38582.729999999996</v>
      </c>
      <c r="E7" s="102">
        <v>1.055</v>
      </c>
      <c r="F7" s="10">
        <f aca="true" t="shared" si="4" ref="F7:F67">D7*E7</f>
        <v>40704.78014999999</v>
      </c>
      <c r="G7" s="11">
        <f aca="true" t="shared" si="5" ref="G7:G22">ROUND((D7*12),2)</f>
        <v>462992.76</v>
      </c>
      <c r="H7" s="10">
        <f aca="true" t="shared" si="6" ref="H7:H22">ROUND(G7*30.2/100,2)</f>
        <v>139823.81</v>
      </c>
      <c r="I7" s="28">
        <f aca="true" t="shared" si="7" ref="I7:I22">(G7+H7)</f>
        <v>602816.5700000001</v>
      </c>
      <c r="J7" s="13">
        <f aca="true" t="shared" si="8" ref="J7:J22">I7*70%</f>
        <v>421971.59900000005</v>
      </c>
      <c r="K7" s="14"/>
      <c r="L7" s="102">
        <v>1.055</v>
      </c>
      <c r="M7" s="10">
        <f aca="true" t="shared" si="9" ref="M7:M67">K7*L7</f>
        <v>0</v>
      </c>
      <c r="N7" s="11">
        <f aca="true" t="shared" si="10" ref="N7:N22">ROUND((M7*12),2)</f>
        <v>0</v>
      </c>
      <c r="O7" s="10">
        <f aca="true" t="shared" si="11" ref="O7:O22">ROUND(N7*30.2/100,2)</f>
        <v>0</v>
      </c>
      <c r="P7" s="12">
        <f aca="true" t="shared" si="12" ref="P7:P22">(N7+O7)</f>
        <v>0</v>
      </c>
      <c r="Q7" s="45">
        <v>6.8</v>
      </c>
      <c r="R7" s="10">
        <f aca="true" t="shared" si="13" ref="R7:R22">ROUND(Q7*18679*12,2)</f>
        <v>1524206.4</v>
      </c>
      <c r="S7" s="10">
        <f aca="true" t="shared" si="14" ref="S7:S22">ROUND(R7*30.2/100,2)</f>
        <v>460310.33</v>
      </c>
      <c r="T7" s="44">
        <f aca="true" t="shared" si="15" ref="T7:T22">(R7+S7)</f>
        <v>1984516.73</v>
      </c>
      <c r="U7" s="39">
        <f aca="true" t="shared" si="16" ref="U7:U22">T7*81%</f>
        <v>1607458.5513000002</v>
      </c>
      <c r="V7" s="44">
        <f>347464.67*12*1.302</f>
        <v>5428788.00408</v>
      </c>
      <c r="W7" s="44">
        <v>0</v>
      </c>
      <c r="X7" s="67">
        <f aca="true" t="shared" si="17" ref="X7:X67">(J7+U7+V7+W7+P7)</f>
        <v>7458218.154380001</v>
      </c>
      <c r="Y7" s="67"/>
      <c r="Z7" s="67"/>
      <c r="AA7" s="69">
        <v>950</v>
      </c>
      <c r="AB7" s="67">
        <f t="shared" si="0"/>
        <v>11400</v>
      </c>
      <c r="AC7" s="67"/>
      <c r="AD7" s="67"/>
      <c r="AE7" s="67"/>
      <c r="AF7" s="67">
        <f>450*6</f>
        <v>2700</v>
      </c>
      <c r="AG7" s="67">
        <v>2000</v>
      </c>
      <c r="AH7" s="67">
        <f>30000</f>
        <v>30000</v>
      </c>
      <c r="AI7" s="69"/>
      <c r="AJ7" s="69"/>
      <c r="AK7" s="135">
        <f aca="true" t="shared" si="18" ref="AK7:AK67">X7+Z7+AB7+AC7+AD7+AE7+AF7+AG7+AH7+AI7+AJ7+Y7</f>
        <v>7504318.154380001</v>
      </c>
      <c r="AM7" s="36"/>
      <c r="AN7" s="36"/>
      <c r="AO7" s="36"/>
      <c r="AP7" s="81"/>
      <c r="AQ7" s="36"/>
      <c r="AR7" s="36"/>
      <c r="AS7" s="36"/>
      <c r="AT7" s="36"/>
      <c r="AU7" s="37"/>
      <c r="AV7" s="81"/>
      <c r="AW7" s="37"/>
      <c r="AX7" s="37"/>
      <c r="AY7" s="37" t="e">
        <f>(J7+#REF!+U7+#REF!+V7+W7)/12</f>
        <v>#REF!</v>
      </c>
      <c r="BA7" s="80">
        <f aca="true" t="shared" si="19" ref="BA7:BA67">AB7/12</f>
        <v>950</v>
      </c>
      <c r="BC7" s="37">
        <f aca="true" t="shared" si="20" ref="BC7:BC67">Z7</f>
        <v>0</v>
      </c>
      <c r="BD7" s="37">
        <f t="shared" si="2"/>
        <v>0</v>
      </c>
      <c r="BE7" s="37"/>
      <c r="BF7" s="37">
        <f aca="true" t="shared" si="21" ref="BF7:BF67">(AC7+AD7+AE7)/2</f>
        <v>0</v>
      </c>
      <c r="BG7" s="37">
        <f aca="true" t="shared" si="22" ref="BG7:BG67">BF7</f>
        <v>0</v>
      </c>
      <c r="BH7" s="37">
        <f aca="true" t="shared" si="23" ref="BH7:BH67">BF7+BG7</f>
        <v>0</v>
      </c>
      <c r="BI7" s="37"/>
      <c r="BJ7" s="37">
        <f aca="true" t="shared" si="24" ref="BJ7:BJ67">AF7</f>
        <v>2700</v>
      </c>
      <c r="BK7" s="37">
        <f aca="true" t="shared" si="25" ref="BK7:BK67">BJ7</f>
        <v>2700</v>
      </c>
      <c r="BL7" s="37"/>
      <c r="BM7" s="37">
        <f aca="true" t="shared" si="26" ref="BM7:BM67">AH7/2</f>
        <v>15000</v>
      </c>
      <c r="BN7" s="37">
        <f aca="true" t="shared" si="27" ref="BN7:BN67">BM7</f>
        <v>15000</v>
      </c>
      <c r="BO7" s="37">
        <f aca="true" t="shared" si="28" ref="BO7:BO67">BM7+BN7</f>
        <v>30000</v>
      </c>
      <c r="BP7" s="36"/>
      <c r="BQ7" s="37">
        <f aca="true" t="shared" si="29" ref="BQ7:BQ31">AG7</f>
        <v>2000</v>
      </c>
      <c r="BR7" s="36"/>
      <c r="BS7" s="36"/>
      <c r="BT7" s="37">
        <f aca="true" t="shared" si="30" ref="BT7:BT67">AJ7</f>
        <v>0</v>
      </c>
      <c r="BU7" s="37">
        <f t="shared" si="3"/>
        <v>2000</v>
      </c>
      <c r="BV7" s="36"/>
      <c r="BW7" s="37">
        <f aca="true" t="shared" si="31" ref="BW7:BW67">AI7</f>
        <v>0</v>
      </c>
      <c r="BX7" s="37">
        <f aca="true" t="shared" si="32" ref="BX7:BX67">BW7</f>
        <v>0</v>
      </c>
      <c r="CA7" s="62">
        <f aca="true" t="shared" si="33" ref="CA7:CA67">BC7</f>
        <v>0</v>
      </c>
      <c r="CB7" s="62">
        <f aca="true" t="shared" si="34" ref="CB7:CB67">BJ7+BQ7</f>
        <v>4700</v>
      </c>
      <c r="CC7" s="62">
        <f aca="true" t="shared" si="35" ref="CC7:CC67">BF7</f>
        <v>0</v>
      </c>
      <c r="CD7" s="62">
        <f aca="true" t="shared" si="36" ref="CD7:CD67">BG7+BR7+BW7</f>
        <v>0</v>
      </c>
      <c r="CE7" s="62"/>
      <c r="CF7" s="62"/>
      <c r="CG7" s="62">
        <f aca="true" t="shared" si="37" ref="CG7:CG67">BM7</f>
        <v>15000</v>
      </c>
      <c r="CH7" s="62">
        <f aca="true" t="shared" si="38" ref="CH7:CH67">BN7</f>
        <v>15000</v>
      </c>
      <c r="CI7" s="62">
        <f aca="true" t="shared" si="39" ref="CI7:CI67">BS7</f>
        <v>0</v>
      </c>
      <c r="CJ7" s="62"/>
      <c r="CK7" s="62"/>
      <c r="CL7" s="62">
        <f aca="true" t="shared" si="40" ref="CL7:CL67">BT7</f>
        <v>0</v>
      </c>
      <c r="CM7" s="62">
        <f aca="true" t="shared" si="41" ref="CM7:CM67">SUM(CA7:CL7)</f>
        <v>34700</v>
      </c>
      <c r="CN7" s="62">
        <f aca="true" t="shared" si="42" ref="CN7:CN67">Z7+AC7+AD7+AE7+AF7+AG7+AH7+AI7+AJ7</f>
        <v>34700</v>
      </c>
      <c r="CO7" s="62">
        <f aca="true" t="shared" si="43" ref="CO7:CO67">CN7-CM7</f>
        <v>0</v>
      </c>
    </row>
    <row r="8" spans="1:93" s="26" customFormat="1" ht="15">
      <c r="A8" s="36">
        <v>3</v>
      </c>
      <c r="B8" s="51"/>
      <c r="C8" s="2" t="s">
        <v>93</v>
      </c>
      <c r="D8" s="10">
        <v>37411.57</v>
      </c>
      <c r="E8" s="102">
        <v>1.055</v>
      </c>
      <c r="F8" s="10">
        <f t="shared" si="4"/>
        <v>39469.20635</v>
      </c>
      <c r="G8" s="11">
        <f t="shared" si="5"/>
        <v>448938.84</v>
      </c>
      <c r="H8" s="10">
        <f t="shared" si="6"/>
        <v>135579.53</v>
      </c>
      <c r="I8" s="28">
        <f t="shared" si="7"/>
        <v>584518.37</v>
      </c>
      <c r="J8" s="13">
        <f t="shared" si="8"/>
        <v>409162.859</v>
      </c>
      <c r="K8" s="10"/>
      <c r="L8" s="102">
        <v>1.055</v>
      </c>
      <c r="M8" s="10">
        <f t="shared" si="9"/>
        <v>0</v>
      </c>
      <c r="N8" s="11">
        <f t="shared" si="10"/>
        <v>0</v>
      </c>
      <c r="O8" s="10">
        <f t="shared" si="11"/>
        <v>0</v>
      </c>
      <c r="P8" s="12">
        <f t="shared" si="12"/>
        <v>0</v>
      </c>
      <c r="Q8" s="45">
        <v>4.5</v>
      </c>
      <c r="R8" s="10">
        <f t="shared" si="13"/>
        <v>1008666</v>
      </c>
      <c r="S8" s="10">
        <f t="shared" si="14"/>
        <v>304617.13</v>
      </c>
      <c r="T8" s="44">
        <f t="shared" si="15"/>
        <v>1313283.13</v>
      </c>
      <c r="U8" s="39">
        <f t="shared" si="16"/>
        <v>1063759.3353</v>
      </c>
      <c r="V8" s="44">
        <f>234786.79*12*1.302</f>
        <v>3668308.80696</v>
      </c>
      <c r="W8" s="44">
        <v>0</v>
      </c>
      <c r="X8" s="67">
        <f t="shared" si="17"/>
        <v>5141231.00126</v>
      </c>
      <c r="Y8" s="67"/>
      <c r="Z8" s="67"/>
      <c r="AA8" s="69">
        <v>848</v>
      </c>
      <c r="AB8" s="67">
        <f t="shared" si="0"/>
        <v>10176</v>
      </c>
      <c r="AC8" s="67">
        <v>16000</v>
      </c>
      <c r="AD8" s="67">
        <v>48600</v>
      </c>
      <c r="AE8" s="67">
        <v>22000</v>
      </c>
      <c r="AF8" s="67">
        <f t="shared" si="1"/>
        <v>1800</v>
      </c>
      <c r="AG8" s="67">
        <v>2000</v>
      </c>
      <c r="AH8" s="67">
        <f>30000</f>
        <v>30000</v>
      </c>
      <c r="AI8" s="69"/>
      <c r="AJ8" s="69"/>
      <c r="AK8" s="135">
        <f t="shared" si="18"/>
        <v>5271807.00126</v>
      </c>
      <c r="AM8" s="36">
        <v>4</v>
      </c>
      <c r="AN8" s="36">
        <v>200</v>
      </c>
      <c r="AO8" s="36">
        <v>20</v>
      </c>
      <c r="AP8" s="81">
        <f>AM8*AN8*AO8</f>
        <v>16000</v>
      </c>
      <c r="AQ8" s="36">
        <v>600</v>
      </c>
      <c r="AR8" s="36">
        <f>AM8*AQ8</f>
        <v>2400</v>
      </c>
      <c r="AS8" s="36">
        <v>550</v>
      </c>
      <c r="AT8" s="36">
        <v>21</v>
      </c>
      <c r="AU8" s="37">
        <f>AS8*AT8*AM8</f>
        <v>46200</v>
      </c>
      <c r="AV8" s="81">
        <f>AR8+AU8</f>
        <v>48600</v>
      </c>
      <c r="AW8" s="37"/>
      <c r="AX8" s="9"/>
      <c r="AY8" s="37" t="e">
        <f>(J8+#REF!+U8+#REF!+V8+W8)/12</f>
        <v>#REF!</v>
      </c>
      <c r="BA8" s="80">
        <f t="shared" si="19"/>
        <v>848</v>
      </c>
      <c r="BC8" s="37">
        <f t="shared" si="20"/>
        <v>0</v>
      </c>
      <c r="BD8" s="37">
        <f t="shared" si="2"/>
        <v>0</v>
      </c>
      <c r="BE8" s="37"/>
      <c r="BF8" s="37">
        <f t="shared" si="21"/>
        <v>43300</v>
      </c>
      <c r="BG8" s="37">
        <f t="shared" si="22"/>
        <v>43300</v>
      </c>
      <c r="BH8" s="37">
        <f t="shared" si="23"/>
        <v>86600</v>
      </c>
      <c r="BI8" s="37"/>
      <c r="BJ8" s="37">
        <f t="shared" si="24"/>
        <v>1800</v>
      </c>
      <c r="BK8" s="37">
        <f t="shared" si="25"/>
        <v>1800</v>
      </c>
      <c r="BL8" s="37"/>
      <c r="BM8" s="37">
        <f t="shared" si="26"/>
        <v>15000</v>
      </c>
      <c r="BN8" s="37">
        <f t="shared" si="27"/>
        <v>15000</v>
      </c>
      <c r="BO8" s="37">
        <f t="shared" si="28"/>
        <v>30000</v>
      </c>
      <c r="BP8" s="36"/>
      <c r="BQ8" s="37">
        <f t="shared" si="29"/>
        <v>2000</v>
      </c>
      <c r="BR8" s="36"/>
      <c r="BS8" s="36"/>
      <c r="BT8" s="37">
        <f t="shared" si="30"/>
        <v>0</v>
      </c>
      <c r="BU8" s="37">
        <f t="shared" si="3"/>
        <v>2000</v>
      </c>
      <c r="BV8" s="36"/>
      <c r="BW8" s="37">
        <f t="shared" si="31"/>
        <v>0</v>
      </c>
      <c r="BX8" s="37">
        <f t="shared" si="32"/>
        <v>0</v>
      </c>
      <c r="CA8" s="62">
        <f t="shared" si="33"/>
        <v>0</v>
      </c>
      <c r="CB8" s="62">
        <f t="shared" si="34"/>
        <v>3800</v>
      </c>
      <c r="CC8" s="62">
        <f t="shared" si="35"/>
        <v>43300</v>
      </c>
      <c r="CD8" s="62">
        <f t="shared" si="36"/>
        <v>43300</v>
      </c>
      <c r="CE8" s="62"/>
      <c r="CF8" s="62"/>
      <c r="CG8" s="62">
        <f t="shared" si="37"/>
        <v>15000</v>
      </c>
      <c r="CH8" s="62">
        <f t="shared" si="38"/>
        <v>15000</v>
      </c>
      <c r="CI8" s="62">
        <f t="shared" si="39"/>
        <v>0</v>
      </c>
      <c r="CJ8" s="62"/>
      <c r="CK8" s="62"/>
      <c r="CL8" s="62">
        <f t="shared" si="40"/>
        <v>0</v>
      </c>
      <c r="CM8" s="62">
        <f t="shared" si="41"/>
        <v>120400</v>
      </c>
      <c r="CN8" s="62">
        <f t="shared" si="42"/>
        <v>120400</v>
      </c>
      <c r="CO8" s="62">
        <f t="shared" si="43"/>
        <v>0</v>
      </c>
    </row>
    <row r="9" spans="1:93" s="26" customFormat="1" ht="15" customHeight="1">
      <c r="A9" s="36">
        <v>4</v>
      </c>
      <c r="B9" s="51"/>
      <c r="C9" s="2" t="s">
        <v>94</v>
      </c>
      <c r="D9" s="10">
        <v>21291.68</v>
      </c>
      <c r="E9" s="102">
        <v>1.055</v>
      </c>
      <c r="F9" s="10">
        <f t="shared" si="4"/>
        <v>22462.7224</v>
      </c>
      <c r="G9" s="11">
        <f t="shared" si="5"/>
        <v>255500.16</v>
      </c>
      <c r="H9" s="10">
        <f t="shared" si="6"/>
        <v>77161.05</v>
      </c>
      <c r="I9" s="28">
        <f t="shared" si="7"/>
        <v>332661.21</v>
      </c>
      <c r="J9" s="13">
        <f t="shared" si="8"/>
        <v>232862.847</v>
      </c>
      <c r="K9" s="10"/>
      <c r="L9" s="102">
        <v>1.055</v>
      </c>
      <c r="M9" s="10">
        <f t="shared" si="9"/>
        <v>0</v>
      </c>
      <c r="N9" s="11">
        <f t="shared" si="10"/>
        <v>0</v>
      </c>
      <c r="O9" s="10">
        <f t="shared" si="11"/>
        <v>0</v>
      </c>
      <c r="P9" s="12">
        <f t="shared" si="12"/>
        <v>0</v>
      </c>
      <c r="Q9" s="45">
        <v>2.1</v>
      </c>
      <c r="R9" s="10">
        <f t="shared" si="13"/>
        <v>470710.8</v>
      </c>
      <c r="S9" s="10">
        <f t="shared" si="14"/>
        <v>142154.66</v>
      </c>
      <c r="T9" s="44">
        <f t="shared" si="15"/>
        <v>612865.46</v>
      </c>
      <c r="U9" s="39">
        <f t="shared" si="16"/>
        <v>496421.0226</v>
      </c>
      <c r="V9" s="44">
        <f>85352.61*12*1.302</f>
        <v>1333549.17864</v>
      </c>
      <c r="W9" s="44">
        <v>0</v>
      </c>
      <c r="X9" s="67">
        <f t="shared" si="17"/>
        <v>2062833.0482400001</v>
      </c>
      <c r="Y9" s="67"/>
      <c r="Z9" s="67"/>
      <c r="AA9" s="69">
        <v>1899</v>
      </c>
      <c r="AB9" s="67">
        <f t="shared" si="0"/>
        <v>22788</v>
      </c>
      <c r="AC9" s="67">
        <v>16000</v>
      </c>
      <c r="AD9" s="67">
        <v>48600</v>
      </c>
      <c r="AE9" s="67">
        <v>22000</v>
      </c>
      <c r="AF9" s="67">
        <f>450*6</f>
        <v>2700</v>
      </c>
      <c r="AG9" s="67">
        <v>2000</v>
      </c>
      <c r="AH9" s="67">
        <f>30000</f>
        <v>30000</v>
      </c>
      <c r="AI9" s="69"/>
      <c r="AJ9" s="69"/>
      <c r="AK9" s="135">
        <f t="shared" si="18"/>
        <v>2206921.0482400004</v>
      </c>
      <c r="AM9" s="36">
        <v>4</v>
      </c>
      <c r="AN9" s="36">
        <v>200</v>
      </c>
      <c r="AO9" s="36">
        <v>20</v>
      </c>
      <c r="AP9" s="81">
        <f aca="true" t="shared" si="44" ref="AP9:AP67">AM9*AN9*AO9</f>
        <v>16000</v>
      </c>
      <c r="AQ9" s="36">
        <f aca="true" t="shared" si="45" ref="AQ9:AQ67">300*2</f>
        <v>600</v>
      </c>
      <c r="AR9" s="36">
        <f aca="true" t="shared" si="46" ref="AR9:AR67">AM9*AQ9</f>
        <v>2400</v>
      </c>
      <c r="AS9" s="36">
        <v>550</v>
      </c>
      <c r="AT9" s="36">
        <v>21</v>
      </c>
      <c r="AU9" s="37">
        <f aca="true" t="shared" si="47" ref="AU9:AU67">AS9*AT9*AM9</f>
        <v>46200</v>
      </c>
      <c r="AV9" s="81">
        <f aca="true" t="shared" si="48" ref="AV9:AV67">AR9+AU9</f>
        <v>48600</v>
      </c>
      <c r="AW9" s="37"/>
      <c r="AX9" s="37"/>
      <c r="AY9" s="37" t="e">
        <f>(J9+#REF!+U9+#REF!+V9+W9)/12</f>
        <v>#REF!</v>
      </c>
      <c r="BA9" s="80">
        <f t="shared" si="19"/>
        <v>1899</v>
      </c>
      <c r="BC9" s="37">
        <f t="shared" si="20"/>
        <v>0</v>
      </c>
      <c r="BD9" s="37">
        <f t="shared" si="2"/>
        <v>0</v>
      </c>
      <c r="BE9" s="37"/>
      <c r="BF9" s="37">
        <f t="shared" si="21"/>
        <v>43300</v>
      </c>
      <c r="BG9" s="37">
        <f t="shared" si="22"/>
        <v>43300</v>
      </c>
      <c r="BH9" s="37">
        <f t="shared" si="23"/>
        <v>86600</v>
      </c>
      <c r="BI9" s="37"/>
      <c r="BJ9" s="37">
        <f t="shared" si="24"/>
        <v>2700</v>
      </c>
      <c r="BK9" s="37">
        <f t="shared" si="25"/>
        <v>2700</v>
      </c>
      <c r="BL9" s="37"/>
      <c r="BM9" s="37">
        <f t="shared" si="26"/>
        <v>15000</v>
      </c>
      <c r="BN9" s="37">
        <f t="shared" si="27"/>
        <v>15000</v>
      </c>
      <c r="BO9" s="37">
        <f t="shared" si="28"/>
        <v>30000</v>
      </c>
      <c r="BP9" s="36"/>
      <c r="BQ9" s="37">
        <f t="shared" si="29"/>
        <v>2000</v>
      </c>
      <c r="BR9" s="36"/>
      <c r="BS9" s="36"/>
      <c r="BT9" s="37">
        <f t="shared" si="30"/>
        <v>0</v>
      </c>
      <c r="BU9" s="37">
        <f t="shared" si="3"/>
        <v>2000</v>
      </c>
      <c r="BV9" s="36"/>
      <c r="BW9" s="37">
        <f t="shared" si="31"/>
        <v>0</v>
      </c>
      <c r="BX9" s="37">
        <f t="shared" si="32"/>
        <v>0</v>
      </c>
      <c r="CA9" s="62">
        <f t="shared" si="33"/>
        <v>0</v>
      </c>
      <c r="CB9" s="62">
        <f t="shared" si="34"/>
        <v>4700</v>
      </c>
      <c r="CC9" s="62">
        <f t="shared" si="35"/>
        <v>43300</v>
      </c>
      <c r="CD9" s="62">
        <f t="shared" si="36"/>
        <v>43300</v>
      </c>
      <c r="CE9" s="62"/>
      <c r="CF9" s="62"/>
      <c r="CG9" s="62">
        <f t="shared" si="37"/>
        <v>15000</v>
      </c>
      <c r="CH9" s="62">
        <f t="shared" si="38"/>
        <v>15000</v>
      </c>
      <c r="CI9" s="62">
        <f t="shared" si="39"/>
        <v>0</v>
      </c>
      <c r="CJ9" s="62"/>
      <c r="CK9" s="62"/>
      <c r="CL9" s="62">
        <f t="shared" si="40"/>
        <v>0</v>
      </c>
      <c r="CM9" s="62">
        <f t="shared" si="41"/>
        <v>121300</v>
      </c>
      <c r="CN9" s="62">
        <f t="shared" si="42"/>
        <v>121300</v>
      </c>
      <c r="CO9" s="62">
        <f t="shared" si="43"/>
        <v>0</v>
      </c>
    </row>
    <row r="10" spans="1:93" s="26" customFormat="1" ht="15" customHeight="1">
      <c r="A10" s="36">
        <v>5</v>
      </c>
      <c r="B10" s="51"/>
      <c r="C10" s="2" t="s">
        <v>95</v>
      </c>
      <c r="D10" s="10">
        <v>28919.97</v>
      </c>
      <c r="E10" s="102">
        <v>1.055</v>
      </c>
      <c r="F10" s="10">
        <f t="shared" si="4"/>
        <v>30510.568349999998</v>
      </c>
      <c r="G10" s="11">
        <f t="shared" si="5"/>
        <v>347039.64</v>
      </c>
      <c r="H10" s="10">
        <f t="shared" si="6"/>
        <v>104805.97</v>
      </c>
      <c r="I10" s="28">
        <f t="shared" si="7"/>
        <v>451845.61</v>
      </c>
      <c r="J10" s="13">
        <f t="shared" si="8"/>
        <v>316291.92699999997</v>
      </c>
      <c r="K10" s="10"/>
      <c r="L10" s="102">
        <v>1.055</v>
      </c>
      <c r="M10" s="10">
        <f t="shared" si="9"/>
        <v>0</v>
      </c>
      <c r="N10" s="11">
        <f t="shared" si="10"/>
        <v>0</v>
      </c>
      <c r="O10" s="10">
        <f t="shared" si="11"/>
        <v>0</v>
      </c>
      <c r="P10" s="12">
        <f t="shared" si="12"/>
        <v>0</v>
      </c>
      <c r="Q10" s="45">
        <v>4.1</v>
      </c>
      <c r="R10" s="10">
        <f t="shared" si="13"/>
        <v>919006.8</v>
      </c>
      <c r="S10" s="10">
        <f t="shared" si="14"/>
        <v>277540.05</v>
      </c>
      <c r="T10" s="44">
        <f t="shared" si="15"/>
        <v>1196546.85</v>
      </c>
      <c r="U10" s="39">
        <f t="shared" si="16"/>
        <v>969202.9485000002</v>
      </c>
      <c r="V10" s="44">
        <f>177367.85*12*1.302</f>
        <v>2771195.2884000004</v>
      </c>
      <c r="W10" s="44">
        <v>0</v>
      </c>
      <c r="X10" s="67">
        <f t="shared" si="17"/>
        <v>4056690.1639000005</v>
      </c>
      <c r="Y10" s="67"/>
      <c r="Z10" s="67"/>
      <c r="AA10" s="69">
        <v>1899</v>
      </c>
      <c r="AB10" s="67">
        <f t="shared" si="0"/>
        <v>22788</v>
      </c>
      <c r="AC10" s="67">
        <v>20000</v>
      </c>
      <c r="AD10" s="67">
        <v>60750</v>
      </c>
      <c r="AE10" s="67">
        <v>27500</v>
      </c>
      <c r="AF10" s="67">
        <f t="shared" si="1"/>
        <v>1800</v>
      </c>
      <c r="AG10" s="67">
        <v>2000</v>
      </c>
      <c r="AH10" s="67">
        <f>30000</f>
        <v>30000</v>
      </c>
      <c r="AI10" s="69"/>
      <c r="AJ10" s="69"/>
      <c r="AK10" s="135">
        <f t="shared" si="18"/>
        <v>4221528.163900001</v>
      </c>
      <c r="AM10" s="36">
        <v>5</v>
      </c>
      <c r="AN10" s="36">
        <v>200</v>
      </c>
      <c r="AO10" s="36">
        <f aca="true" t="shared" si="49" ref="AO10:AO67">AC10/AM10/AN10</f>
        <v>20</v>
      </c>
      <c r="AP10" s="81">
        <f t="shared" si="44"/>
        <v>20000</v>
      </c>
      <c r="AQ10" s="36">
        <f t="shared" si="45"/>
        <v>600</v>
      </c>
      <c r="AR10" s="36">
        <f t="shared" si="46"/>
        <v>3000</v>
      </c>
      <c r="AS10" s="36">
        <v>550</v>
      </c>
      <c r="AT10" s="36">
        <v>21</v>
      </c>
      <c r="AU10" s="37">
        <f t="shared" si="47"/>
        <v>57750</v>
      </c>
      <c r="AV10" s="81">
        <f t="shared" si="48"/>
        <v>60750</v>
      </c>
      <c r="AW10" s="37"/>
      <c r="AX10" s="37"/>
      <c r="AY10" s="37" t="e">
        <f>(J10+#REF!+U10+#REF!+V10+W10)/12</f>
        <v>#REF!</v>
      </c>
      <c r="BA10" s="80">
        <f t="shared" si="19"/>
        <v>1899</v>
      </c>
      <c r="BC10" s="37">
        <f t="shared" si="20"/>
        <v>0</v>
      </c>
      <c r="BD10" s="37">
        <f t="shared" si="2"/>
        <v>0</v>
      </c>
      <c r="BE10" s="37"/>
      <c r="BF10" s="37">
        <f t="shared" si="21"/>
        <v>54125</v>
      </c>
      <c r="BG10" s="37">
        <f t="shared" si="22"/>
        <v>54125</v>
      </c>
      <c r="BH10" s="37">
        <f t="shared" si="23"/>
        <v>108250</v>
      </c>
      <c r="BI10" s="37"/>
      <c r="BJ10" s="37">
        <f t="shared" si="24"/>
        <v>1800</v>
      </c>
      <c r="BK10" s="37">
        <f t="shared" si="25"/>
        <v>1800</v>
      </c>
      <c r="BL10" s="37"/>
      <c r="BM10" s="37">
        <f t="shared" si="26"/>
        <v>15000</v>
      </c>
      <c r="BN10" s="37">
        <f t="shared" si="27"/>
        <v>15000</v>
      </c>
      <c r="BO10" s="37">
        <f t="shared" si="28"/>
        <v>30000</v>
      </c>
      <c r="BP10" s="36"/>
      <c r="BQ10" s="37">
        <f t="shared" si="29"/>
        <v>2000</v>
      </c>
      <c r="BR10" s="36"/>
      <c r="BS10" s="36"/>
      <c r="BT10" s="37">
        <f t="shared" si="30"/>
        <v>0</v>
      </c>
      <c r="BU10" s="37">
        <f t="shared" si="3"/>
        <v>2000</v>
      </c>
      <c r="BV10" s="36"/>
      <c r="BW10" s="37">
        <f t="shared" si="31"/>
        <v>0</v>
      </c>
      <c r="BX10" s="37">
        <f t="shared" si="32"/>
        <v>0</v>
      </c>
      <c r="CA10" s="62">
        <f t="shared" si="33"/>
        <v>0</v>
      </c>
      <c r="CB10" s="62">
        <f t="shared" si="34"/>
        <v>3800</v>
      </c>
      <c r="CC10" s="62">
        <f t="shared" si="35"/>
        <v>54125</v>
      </c>
      <c r="CD10" s="62">
        <f t="shared" si="36"/>
        <v>54125</v>
      </c>
      <c r="CE10" s="62"/>
      <c r="CF10" s="62"/>
      <c r="CG10" s="62">
        <f t="shared" si="37"/>
        <v>15000</v>
      </c>
      <c r="CH10" s="62">
        <f t="shared" si="38"/>
        <v>15000</v>
      </c>
      <c r="CI10" s="62">
        <f t="shared" si="39"/>
        <v>0</v>
      </c>
      <c r="CJ10" s="62"/>
      <c r="CK10" s="62"/>
      <c r="CL10" s="62">
        <f t="shared" si="40"/>
        <v>0</v>
      </c>
      <c r="CM10" s="62">
        <f t="shared" si="41"/>
        <v>142050</v>
      </c>
      <c r="CN10" s="62">
        <f t="shared" si="42"/>
        <v>142050</v>
      </c>
      <c r="CO10" s="62">
        <f t="shared" si="43"/>
        <v>0</v>
      </c>
    </row>
    <row r="11" spans="1:93" s="26" customFormat="1" ht="15" customHeight="1">
      <c r="A11" s="36">
        <v>6</v>
      </c>
      <c r="B11" s="51"/>
      <c r="C11" s="2" t="s">
        <v>96</v>
      </c>
      <c r="D11" s="10">
        <v>24806.88</v>
      </c>
      <c r="E11" s="102">
        <v>1.055</v>
      </c>
      <c r="F11" s="10">
        <f t="shared" si="4"/>
        <v>26171.2584</v>
      </c>
      <c r="G11" s="11">
        <f t="shared" si="5"/>
        <v>297682.56</v>
      </c>
      <c r="H11" s="10">
        <f t="shared" si="6"/>
        <v>89900.13</v>
      </c>
      <c r="I11" s="28">
        <f t="shared" si="7"/>
        <v>387582.69</v>
      </c>
      <c r="J11" s="13">
        <f t="shared" si="8"/>
        <v>271307.883</v>
      </c>
      <c r="K11" s="10"/>
      <c r="L11" s="102">
        <v>1.055</v>
      </c>
      <c r="M11" s="10">
        <f t="shared" si="9"/>
        <v>0</v>
      </c>
      <c r="N11" s="11">
        <f t="shared" si="10"/>
        <v>0</v>
      </c>
      <c r="O11" s="10">
        <f t="shared" si="11"/>
        <v>0</v>
      </c>
      <c r="P11" s="12">
        <f t="shared" si="12"/>
        <v>0</v>
      </c>
      <c r="Q11" s="45">
        <v>3</v>
      </c>
      <c r="R11" s="10">
        <f t="shared" si="13"/>
        <v>672444</v>
      </c>
      <c r="S11" s="10">
        <f t="shared" si="14"/>
        <v>203078.09</v>
      </c>
      <c r="T11" s="44">
        <f t="shared" si="15"/>
        <v>875522.09</v>
      </c>
      <c r="U11" s="39">
        <f t="shared" si="16"/>
        <v>709172.8929</v>
      </c>
      <c r="V11" s="44">
        <f>126173.52*12*1.302</f>
        <v>1971335.07648</v>
      </c>
      <c r="W11" s="44">
        <v>0</v>
      </c>
      <c r="X11" s="67">
        <f t="shared" si="17"/>
        <v>2951815.85238</v>
      </c>
      <c r="Y11" s="67"/>
      <c r="Z11" s="67"/>
      <c r="AA11" s="69">
        <v>2551</v>
      </c>
      <c r="AB11" s="67">
        <f t="shared" si="0"/>
        <v>30612</v>
      </c>
      <c r="AC11" s="67">
        <v>12000</v>
      </c>
      <c r="AD11" s="67">
        <v>36450</v>
      </c>
      <c r="AE11" s="67">
        <v>16500</v>
      </c>
      <c r="AF11" s="67">
        <f t="shared" si="1"/>
        <v>1800</v>
      </c>
      <c r="AG11" s="67">
        <v>2000</v>
      </c>
      <c r="AH11" s="67">
        <f>30000</f>
        <v>30000</v>
      </c>
      <c r="AI11" s="69"/>
      <c r="AJ11" s="69"/>
      <c r="AK11" s="135">
        <f t="shared" si="18"/>
        <v>3081177.85238</v>
      </c>
      <c r="AM11" s="36">
        <v>3</v>
      </c>
      <c r="AN11" s="36">
        <v>200</v>
      </c>
      <c r="AO11" s="36">
        <f t="shared" si="49"/>
        <v>20</v>
      </c>
      <c r="AP11" s="81">
        <f t="shared" si="44"/>
        <v>12000</v>
      </c>
      <c r="AQ11" s="36">
        <f t="shared" si="45"/>
        <v>600</v>
      </c>
      <c r="AR11" s="36">
        <f t="shared" si="46"/>
        <v>1800</v>
      </c>
      <c r="AS11" s="36">
        <v>550</v>
      </c>
      <c r="AT11" s="36">
        <v>21</v>
      </c>
      <c r="AU11" s="37">
        <f t="shared" si="47"/>
        <v>34650</v>
      </c>
      <c r="AV11" s="81">
        <f t="shared" si="48"/>
        <v>36450</v>
      </c>
      <c r="AW11" s="37"/>
      <c r="AX11" s="37"/>
      <c r="AY11" s="37" t="e">
        <f>(J11+#REF!+U11+#REF!+V11+W11)/12</f>
        <v>#REF!</v>
      </c>
      <c r="BA11" s="80">
        <f t="shared" si="19"/>
        <v>2551</v>
      </c>
      <c r="BC11" s="37">
        <f t="shared" si="20"/>
        <v>0</v>
      </c>
      <c r="BD11" s="37">
        <f t="shared" si="2"/>
        <v>0</v>
      </c>
      <c r="BE11" s="37"/>
      <c r="BF11" s="37">
        <f t="shared" si="21"/>
        <v>32475</v>
      </c>
      <c r="BG11" s="37">
        <f t="shared" si="22"/>
        <v>32475</v>
      </c>
      <c r="BH11" s="37">
        <f t="shared" si="23"/>
        <v>64950</v>
      </c>
      <c r="BI11" s="37"/>
      <c r="BJ11" s="37">
        <f t="shared" si="24"/>
        <v>1800</v>
      </c>
      <c r="BK11" s="37">
        <f t="shared" si="25"/>
        <v>1800</v>
      </c>
      <c r="BL11" s="37"/>
      <c r="BM11" s="37">
        <f t="shared" si="26"/>
        <v>15000</v>
      </c>
      <c r="BN11" s="37">
        <f t="shared" si="27"/>
        <v>15000</v>
      </c>
      <c r="BO11" s="37">
        <f t="shared" si="28"/>
        <v>30000</v>
      </c>
      <c r="BP11" s="36"/>
      <c r="BQ11" s="37">
        <f t="shared" si="29"/>
        <v>2000</v>
      </c>
      <c r="BR11" s="36"/>
      <c r="BS11" s="36"/>
      <c r="BT11" s="37">
        <f t="shared" si="30"/>
        <v>0</v>
      </c>
      <c r="BU11" s="37">
        <f t="shared" si="3"/>
        <v>2000</v>
      </c>
      <c r="BV11" s="36"/>
      <c r="BW11" s="37">
        <f t="shared" si="31"/>
        <v>0</v>
      </c>
      <c r="BX11" s="37">
        <f t="shared" si="32"/>
        <v>0</v>
      </c>
      <c r="CA11" s="62">
        <f t="shared" si="33"/>
        <v>0</v>
      </c>
      <c r="CB11" s="62">
        <f t="shared" si="34"/>
        <v>3800</v>
      </c>
      <c r="CC11" s="62">
        <f t="shared" si="35"/>
        <v>32475</v>
      </c>
      <c r="CD11" s="62">
        <f t="shared" si="36"/>
        <v>32475</v>
      </c>
      <c r="CE11" s="62"/>
      <c r="CF11" s="62"/>
      <c r="CG11" s="62">
        <f t="shared" si="37"/>
        <v>15000</v>
      </c>
      <c r="CH11" s="62">
        <f t="shared" si="38"/>
        <v>15000</v>
      </c>
      <c r="CI11" s="62">
        <f t="shared" si="39"/>
        <v>0</v>
      </c>
      <c r="CJ11" s="62"/>
      <c r="CK11" s="62"/>
      <c r="CL11" s="62">
        <f t="shared" si="40"/>
        <v>0</v>
      </c>
      <c r="CM11" s="62">
        <f t="shared" si="41"/>
        <v>98750</v>
      </c>
      <c r="CN11" s="62">
        <f t="shared" si="42"/>
        <v>98750</v>
      </c>
      <c r="CO11" s="62">
        <f t="shared" si="43"/>
        <v>0</v>
      </c>
    </row>
    <row r="12" spans="1:93" s="26" customFormat="1" ht="15" customHeight="1">
      <c r="A12" s="36">
        <v>7</v>
      </c>
      <c r="B12" s="51"/>
      <c r="C12" s="2" t="s">
        <v>97</v>
      </c>
      <c r="D12" s="10">
        <v>19555.06</v>
      </c>
      <c r="E12" s="102">
        <v>1.055</v>
      </c>
      <c r="F12" s="10">
        <f t="shared" si="4"/>
        <v>20630.5883</v>
      </c>
      <c r="G12" s="11">
        <f t="shared" si="5"/>
        <v>234660.72</v>
      </c>
      <c r="H12" s="10">
        <f t="shared" si="6"/>
        <v>70867.54</v>
      </c>
      <c r="I12" s="28">
        <f t="shared" si="7"/>
        <v>305528.26</v>
      </c>
      <c r="J12" s="13">
        <f t="shared" si="8"/>
        <v>213869.782</v>
      </c>
      <c r="K12" s="10"/>
      <c r="L12" s="102">
        <v>1.055</v>
      </c>
      <c r="M12" s="10">
        <f t="shared" si="9"/>
        <v>0</v>
      </c>
      <c r="N12" s="11">
        <f t="shared" si="10"/>
        <v>0</v>
      </c>
      <c r="O12" s="10">
        <f t="shared" si="11"/>
        <v>0</v>
      </c>
      <c r="P12" s="12">
        <f t="shared" si="12"/>
        <v>0</v>
      </c>
      <c r="Q12" s="45">
        <v>2</v>
      </c>
      <c r="R12" s="10">
        <f t="shared" si="13"/>
        <v>448296</v>
      </c>
      <c r="S12" s="10">
        <f t="shared" si="14"/>
        <v>135385.39</v>
      </c>
      <c r="T12" s="44">
        <f t="shared" si="15"/>
        <v>583681.39</v>
      </c>
      <c r="U12" s="39">
        <f t="shared" si="16"/>
        <v>472781.92590000003</v>
      </c>
      <c r="V12" s="44">
        <f>50116.08*12*1.302</f>
        <v>783013.6339199999</v>
      </c>
      <c r="W12" s="44">
        <v>0</v>
      </c>
      <c r="X12" s="67">
        <f t="shared" si="17"/>
        <v>1469665.34182</v>
      </c>
      <c r="Y12" s="67"/>
      <c r="Z12" s="67"/>
      <c r="AA12" s="69">
        <v>3587</v>
      </c>
      <c r="AB12" s="67">
        <f t="shared" si="0"/>
        <v>43044</v>
      </c>
      <c r="AC12" s="67">
        <v>4000</v>
      </c>
      <c r="AD12" s="67">
        <v>12150</v>
      </c>
      <c r="AE12" s="67">
        <v>5500</v>
      </c>
      <c r="AF12" s="67">
        <f t="shared" si="1"/>
        <v>1800</v>
      </c>
      <c r="AG12" s="67">
        <v>2000</v>
      </c>
      <c r="AH12" s="67">
        <f>30000</f>
        <v>30000</v>
      </c>
      <c r="AI12" s="69"/>
      <c r="AJ12" s="69"/>
      <c r="AK12" s="135">
        <f t="shared" si="18"/>
        <v>1568159.34182</v>
      </c>
      <c r="AM12" s="36">
        <v>1</v>
      </c>
      <c r="AN12" s="36">
        <v>200</v>
      </c>
      <c r="AO12" s="36">
        <f t="shared" si="49"/>
        <v>20</v>
      </c>
      <c r="AP12" s="81">
        <f t="shared" si="44"/>
        <v>4000</v>
      </c>
      <c r="AQ12" s="36">
        <f t="shared" si="45"/>
        <v>600</v>
      </c>
      <c r="AR12" s="36">
        <f t="shared" si="46"/>
        <v>600</v>
      </c>
      <c r="AS12" s="36">
        <v>550</v>
      </c>
      <c r="AT12" s="36">
        <v>21</v>
      </c>
      <c r="AU12" s="37">
        <f t="shared" si="47"/>
        <v>11550</v>
      </c>
      <c r="AV12" s="81">
        <f t="shared" si="48"/>
        <v>12150</v>
      </c>
      <c r="AW12" s="37"/>
      <c r="AX12" s="37"/>
      <c r="AY12" s="37" t="e">
        <f>(J12+#REF!+U12+#REF!+V12+W12)/12</f>
        <v>#REF!</v>
      </c>
      <c r="BA12" s="80">
        <f t="shared" si="19"/>
        <v>3587</v>
      </c>
      <c r="BC12" s="37">
        <f t="shared" si="20"/>
        <v>0</v>
      </c>
      <c r="BD12" s="37">
        <f t="shared" si="2"/>
        <v>0</v>
      </c>
      <c r="BE12" s="37"/>
      <c r="BF12" s="37">
        <f t="shared" si="21"/>
        <v>10825</v>
      </c>
      <c r="BG12" s="37">
        <f t="shared" si="22"/>
        <v>10825</v>
      </c>
      <c r="BH12" s="37">
        <f t="shared" si="23"/>
        <v>21650</v>
      </c>
      <c r="BI12" s="37"/>
      <c r="BJ12" s="37">
        <f t="shared" si="24"/>
        <v>1800</v>
      </c>
      <c r="BK12" s="37">
        <f t="shared" si="25"/>
        <v>1800</v>
      </c>
      <c r="BL12" s="37"/>
      <c r="BM12" s="37">
        <f t="shared" si="26"/>
        <v>15000</v>
      </c>
      <c r="BN12" s="37">
        <f t="shared" si="27"/>
        <v>15000</v>
      </c>
      <c r="BO12" s="37">
        <f t="shared" si="28"/>
        <v>30000</v>
      </c>
      <c r="BP12" s="36"/>
      <c r="BQ12" s="37">
        <f t="shared" si="29"/>
        <v>2000</v>
      </c>
      <c r="BR12" s="36"/>
      <c r="BS12" s="36"/>
      <c r="BT12" s="37">
        <f t="shared" si="30"/>
        <v>0</v>
      </c>
      <c r="BU12" s="37">
        <f t="shared" si="3"/>
        <v>2000</v>
      </c>
      <c r="BV12" s="36"/>
      <c r="BW12" s="37">
        <f t="shared" si="31"/>
        <v>0</v>
      </c>
      <c r="BX12" s="37">
        <f t="shared" si="32"/>
        <v>0</v>
      </c>
      <c r="CA12" s="62">
        <f t="shared" si="33"/>
        <v>0</v>
      </c>
      <c r="CB12" s="62">
        <f t="shared" si="34"/>
        <v>3800</v>
      </c>
      <c r="CC12" s="62">
        <f t="shared" si="35"/>
        <v>10825</v>
      </c>
      <c r="CD12" s="62">
        <f t="shared" si="36"/>
        <v>10825</v>
      </c>
      <c r="CE12" s="62"/>
      <c r="CF12" s="62"/>
      <c r="CG12" s="62">
        <f t="shared" si="37"/>
        <v>15000</v>
      </c>
      <c r="CH12" s="62">
        <f t="shared" si="38"/>
        <v>15000</v>
      </c>
      <c r="CI12" s="62">
        <f t="shared" si="39"/>
        <v>0</v>
      </c>
      <c r="CJ12" s="62"/>
      <c r="CK12" s="62"/>
      <c r="CL12" s="62">
        <f t="shared" si="40"/>
        <v>0</v>
      </c>
      <c r="CM12" s="62">
        <f t="shared" si="41"/>
        <v>55450</v>
      </c>
      <c r="CN12" s="62">
        <f t="shared" si="42"/>
        <v>55450</v>
      </c>
      <c r="CO12" s="62">
        <f t="shared" si="43"/>
        <v>0</v>
      </c>
    </row>
    <row r="13" spans="1:93" s="26" customFormat="1" ht="15" customHeight="1">
      <c r="A13" s="36">
        <v>8</v>
      </c>
      <c r="B13" s="51"/>
      <c r="C13" s="3" t="s">
        <v>98</v>
      </c>
      <c r="D13" s="10">
        <v>23827.54</v>
      </c>
      <c r="E13" s="102">
        <v>1.055</v>
      </c>
      <c r="F13" s="10">
        <f t="shared" si="4"/>
        <v>25138.0547</v>
      </c>
      <c r="G13" s="11">
        <f t="shared" si="5"/>
        <v>285930.48</v>
      </c>
      <c r="H13" s="10">
        <f t="shared" si="6"/>
        <v>86351</v>
      </c>
      <c r="I13" s="28">
        <f t="shared" si="7"/>
        <v>372281.48</v>
      </c>
      <c r="J13" s="13">
        <f t="shared" si="8"/>
        <v>260597.03599999996</v>
      </c>
      <c r="K13" s="14"/>
      <c r="L13" s="102">
        <v>1.055</v>
      </c>
      <c r="M13" s="10">
        <f t="shared" si="9"/>
        <v>0</v>
      </c>
      <c r="N13" s="11">
        <f t="shared" si="10"/>
        <v>0</v>
      </c>
      <c r="O13" s="10">
        <f t="shared" si="11"/>
        <v>0</v>
      </c>
      <c r="P13" s="12">
        <f t="shared" si="12"/>
        <v>0</v>
      </c>
      <c r="Q13" s="45">
        <v>1.25</v>
      </c>
      <c r="R13" s="10">
        <f t="shared" si="13"/>
        <v>280185</v>
      </c>
      <c r="S13" s="10">
        <f t="shared" si="14"/>
        <v>84615.87</v>
      </c>
      <c r="T13" s="44">
        <f t="shared" si="15"/>
        <v>364800.87</v>
      </c>
      <c r="U13" s="39">
        <f t="shared" si="16"/>
        <v>295488.7047</v>
      </c>
      <c r="V13" s="44">
        <f>36587.71*12*1.302</f>
        <v>571646.38104</v>
      </c>
      <c r="W13" s="44">
        <v>0</v>
      </c>
      <c r="X13" s="67">
        <f t="shared" si="17"/>
        <v>1127732.1217399999</v>
      </c>
      <c r="Y13" s="67">
        <f>1*18679*1.3</f>
        <v>24282.7</v>
      </c>
      <c r="Z13" s="67"/>
      <c r="AA13" s="69">
        <v>3587</v>
      </c>
      <c r="AB13" s="67">
        <f t="shared" si="0"/>
        <v>43044</v>
      </c>
      <c r="AC13" s="67">
        <v>4000</v>
      </c>
      <c r="AD13" s="67">
        <v>12150</v>
      </c>
      <c r="AE13" s="67">
        <v>5500</v>
      </c>
      <c r="AF13" s="67">
        <f>450*6</f>
        <v>2700</v>
      </c>
      <c r="AG13" s="67">
        <v>2000</v>
      </c>
      <c r="AH13" s="67">
        <f>30000</f>
        <v>30000</v>
      </c>
      <c r="AI13" s="69"/>
      <c r="AJ13" s="69"/>
      <c r="AK13" s="135">
        <f t="shared" si="18"/>
        <v>1251408.8217399998</v>
      </c>
      <c r="AM13" s="36">
        <v>1</v>
      </c>
      <c r="AN13" s="36">
        <v>200</v>
      </c>
      <c r="AO13" s="36">
        <f t="shared" si="49"/>
        <v>20</v>
      </c>
      <c r="AP13" s="81">
        <f t="shared" si="44"/>
        <v>4000</v>
      </c>
      <c r="AQ13" s="36">
        <f t="shared" si="45"/>
        <v>600</v>
      </c>
      <c r="AR13" s="36">
        <f t="shared" si="46"/>
        <v>600</v>
      </c>
      <c r="AS13" s="36">
        <v>550</v>
      </c>
      <c r="AT13" s="36">
        <v>21</v>
      </c>
      <c r="AU13" s="37">
        <f t="shared" si="47"/>
        <v>11550</v>
      </c>
      <c r="AV13" s="81">
        <f t="shared" si="48"/>
        <v>12150</v>
      </c>
      <c r="AW13" s="37"/>
      <c r="AX13" s="37"/>
      <c r="AY13" s="37" t="e">
        <f>(J13+#REF!+U13+#REF!+V13+W13)/12</f>
        <v>#REF!</v>
      </c>
      <c r="BA13" s="80">
        <f t="shared" si="19"/>
        <v>3587</v>
      </c>
      <c r="BC13" s="37">
        <f t="shared" si="20"/>
        <v>0</v>
      </c>
      <c r="BD13" s="37">
        <f t="shared" si="2"/>
        <v>0</v>
      </c>
      <c r="BE13" s="37"/>
      <c r="BF13" s="37">
        <f t="shared" si="21"/>
        <v>10825</v>
      </c>
      <c r="BG13" s="37">
        <f t="shared" si="22"/>
        <v>10825</v>
      </c>
      <c r="BH13" s="37">
        <f t="shared" si="23"/>
        <v>21650</v>
      </c>
      <c r="BI13" s="37"/>
      <c r="BJ13" s="37">
        <f t="shared" si="24"/>
        <v>2700</v>
      </c>
      <c r="BK13" s="37">
        <f t="shared" si="25"/>
        <v>2700</v>
      </c>
      <c r="BL13" s="37"/>
      <c r="BM13" s="37">
        <f t="shared" si="26"/>
        <v>15000</v>
      </c>
      <c r="BN13" s="37">
        <f t="shared" si="27"/>
        <v>15000</v>
      </c>
      <c r="BO13" s="37">
        <f t="shared" si="28"/>
        <v>30000</v>
      </c>
      <c r="BP13" s="36"/>
      <c r="BQ13" s="37">
        <f t="shared" si="29"/>
        <v>2000</v>
      </c>
      <c r="BR13" s="36"/>
      <c r="BS13" s="36"/>
      <c r="BT13" s="37">
        <f t="shared" si="30"/>
        <v>0</v>
      </c>
      <c r="BU13" s="37">
        <f t="shared" si="3"/>
        <v>2000</v>
      </c>
      <c r="BV13" s="36"/>
      <c r="BW13" s="37">
        <f t="shared" si="31"/>
        <v>0</v>
      </c>
      <c r="BX13" s="37">
        <f t="shared" si="32"/>
        <v>0</v>
      </c>
      <c r="CA13" s="62">
        <f t="shared" si="33"/>
        <v>0</v>
      </c>
      <c r="CB13" s="62">
        <f t="shared" si="34"/>
        <v>4700</v>
      </c>
      <c r="CC13" s="62">
        <f t="shared" si="35"/>
        <v>10825</v>
      </c>
      <c r="CD13" s="62">
        <f t="shared" si="36"/>
        <v>10825</v>
      </c>
      <c r="CE13" s="62"/>
      <c r="CF13" s="62"/>
      <c r="CG13" s="62">
        <f t="shared" si="37"/>
        <v>15000</v>
      </c>
      <c r="CH13" s="62">
        <f t="shared" si="38"/>
        <v>15000</v>
      </c>
      <c r="CI13" s="62">
        <f t="shared" si="39"/>
        <v>0</v>
      </c>
      <c r="CJ13" s="62"/>
      <c r="CK13" s="62"/>
      <c r="CL13" s="62">
        <f t="shared" si="40"/>
        <v>0</v>
      </c>
      <c r="CM13" s="62">
        <f t="shared" si="41"/>
        <v>56350</v>
      </c>
      <c r="CN13" s="62">
        <f t="shared" si="42"/>
        <v>56350</v>
      </c>
      <c r="CO13" s="62">
        <f t="shared" si="43"/>
        <v>0</v>
      </c>
    </row>
    <row r="14" spans="1:93" s="26" customFormat="1" ht="15" customHeight="1">
      <c r="A14" s="36">
        <v>9</v>
      </c>
      <c r="B14" s="51"/>
      <c r="C14" s="2" t="s">
        <v>99</v>
      </c>
      <c r="D14" s="10">
        <v>18717.06</v>
      </c>
      <c r="E14" s="102">
        <v>1.055</v>
      </c>
      <c r="F14" s="10">
        <f t="shared" si="4"/>
        <v>19746.4983</v>
      </c>
      <c r="G14" s="11">
        <f t="shared" si="5"/>
        <v>224604.72</v>
      </c>
      <c r="H14" s="10">
        <f t="shared" si="6"/>
        <v>67830.63</v>
      </c>
      <c r="I14" s="28">
        <f t="shared" si="7"/>
        <v>292435.35</v>
      </c>
      <c r="J14" s="13">
        <f t="shared" si="8"/>
        <v>204704.74499999997</v>
      </c>
      <c r="K14" s="10"/>
      <c r="L14" s="102">
        <v>1.055</v>
      </c>
      <c r="M14" s="10">
        <f t="shared" si="9"/>
        <v>0</v>
      </c>
      <c r="N14" s="11">
        <f t="shared" si="10"/>
        <v>0</v>
      </c>
      <c r="O14" s="10">
        <f t="shared" si="11"/>
        <v>0</v>
      </c>
      <c r="P14" s="12">
        <f t="shared" si="12"/>
        <v>0</v>
      </c>
      <c r="Q14" s="45">
        <v>0.5</v>
      </c>
      <c r="R14" s="10">
        <f t="shared" si="13"/>
        <v>112074</v>
      </c>
      <c r="S14" s="10">
        <f t="shared" si="14"/>
        <v>33846.35</v>
      </c>
      <c r="T14" s="44">
        <f t="shared" si="15"/>
        <v>145920.35</v>
      </c>
      <c r="U14" s="39">
        <f t="shared" si="16"/>
        <v>118195.48350000002</v>
      </c>
      <c r="V14" s="44">
        <f>29896.67*12*1.302</f>
        <v>467105.57208</v>
      </c>
      <c r="W14" s="44"/>
      <c r="X14" s="67">
        <f t="shared" si="17"/>
        <v>790005.80058</v>
      </c>
      <c r="Y14" s="67">
        <f>1*18679*1.3</f>
        <v>24282.7</v>
      </c>
      <c r="Z14" s="67"/>
      <c r="AA14" s="69">
        <v>0</v>
      </c>
      <c r="AB14" s="67">
        <f t="shared" si="0"/>
        <v>0</v>
      </c>
      <c r="AC14" s="67">
        <v>0</v>
      </c>
      <c r="AD14" s="67">
        <v>0</v>
      </c>
      <c r="AE14" s="67">
        <v>0</v>
      </c>
      <c r="AF14" s="67">
        <f>450*6</f>
        <v>2700</v>
      </c>
      <c r="AG14" s="67">
        <v>2000</v>
      </c>
      <c r="AH14" s="67">
        <f>30000</f>
        <v>30000</v>
      </c>
      <c r="AI14" s="69"/>
      <c r="AJ14" s="69"/>
      <c r="AK14" s="135">
        <f t="shared" si="18"/>
        <v>848988.50058</v>
      </c>
      <c r="AM14" s="36"/>
      <c r="AN14" s="36">
        <v>200</v>
      </c>
      <c r="AO14" s="36"/>
      <c r="AP14" s="81">
        <f t="shared" si="44"/>
        <v>0</v>
      </c>
      <c r="AQ14" s="36">
        <f t="shared" si="45"/>
        <v>600</v>
      </c>
      <c r="AR14" s="36">
        <f t="shared" si="46"/>
        <v>0</v>
      </c>
      <c r="AS14" s="36">
        <v>550</v>
      </c>
      <c r="AT14" s="36">
        <v>21</v>
      </c>
      <c r="AU14" s="37">
        <f t="shared" si="47"/>
        <v>0</v>
      </c>
      <c r="AV14" s="81">
        <f t="shared" si="48"/>
        <v>0</v>
      </c>
      <c r="AW14" s="37"/>
      <c r="AX14" s="37"/>
      <c r="AY14" s="37" t="e">
        <f>(J14+#REF!+U14+#REF!+V14+W14)/12</f>
        <v>#REF!</v>
      </c>
      <c r="BA14" s="80">
        <f t="shared" si="19"/>
        <v>0</v>
      </c>
      <c r="BC14" s="37">
        <f t="shared" si="20"/>
        <v>0</v>
      </c>
      <c r="BD14" s="37">
        <f t="shared" si="2"/>
        <v>0</v>
      </c>
      <c r="BE14" s="37"/>
      <c r="BF14" s="37">
        <f t="shared" si="21"/>
        <v>0</v>
      </c>
      <c r="BG14" s="37">
        <f t="shared" si="22"/>
        <v>0</v>
      </c>
      <c r="BH14" s="37">
        <f t="shared" si="23"/>
        <v>0</v>
      </c>
      <c r="BI14" s="37"/>
      <c r="BJ14" s="37">
        <f t="shared" si="24"/>
        <v>2700</v>
      </c>
      <c r="BK14" s="37">
        <f t="shared" si="25"/>
        <v>2700</v>
      </c>
      <c r="BL14" s="37"/>
      <c r="BM14" s="37">
        <f t="shared" si="26"/>
        <v>15000</v>
      </c>
      <c r="BN14" s="37">
        <f t="shared" si="27"/>
        <v>15000</v>
      </c>
      <c r="BO14" s="37">
        <f t="shared" si="28"/>
        <v>30000</v>
      </c>
      <c r="BP14" s="36"/>
      <c r="BQ14" s="37">
        <f t="shared" si="29"/>
        <v>2000</v>
      </c>
      <c r="BR14" s="36"/>
      <c r="BS14" s="36"/>
      <c r="BT14" s="37">
        <f t="shared" si="30"/>
        <v>0</v>
      </c>
      <c r="BU14" s="37">
        <f t="shared" si="3"/>
        <v>2000</v>
      </c>
      <c r="BV14" s="36"/>
      <c r="BW14" s="37">
        <f t="shared" si="31"/>
        <v>0</v>
      </c>
      <c r="BX14" s="37">
        <f t="shared" si="32"/>
        <v>0</v>
      </c>
      <c r="CA14" s="62">
        <f t="shared" si="33"/>
        <v>0</v>
      </c>
      <c r="CB14" s="62">
        <f t="shared" si="34"/>
        <v>4700</v>
      </c>
      <c r="CC14" s="62">
        <f t="shared" si="35"/>
        <v>0</v>
      </c>
      <c r="CD14" s="62">
        <f t="shared" si="36"/>
        <v>0</v>
      </c>
      <c r="CE14" s="62"/>
      <c r="CF14" s="62"/>
      <c r="CG14" s="62">
        <f t="shared" si="37"/>
        <v>15000</v>
      </c>
      <c r="CH14" s="62">
        <f t="shared" si="38"/>
        <v>15000</v>
      </c>
      <c r="CI14" s="62">
        <f t="shared" si="39"/>
        <v>0</v>
      </c>
      <c r="CJ14" s="62"/>
      <c r="CK14" s="62"/>
      <c r="CL14" s="62">
        <f t="shared" si="40"/>
        <v>0</v>
      </c>
      <c r="CM14" s="62">
        <f t="shared" si="41"/>
        <v>34700</v>
      </c>
      <c r="CN14" s="62">
        <f t="shared" si="42"/>
        <v>34700</v>
      </c>
      <c r="CO14" s="62">
        <f t="shared" si="43"/>
        <v>0</v>
      </c>
    </row>
    <row r="15" spans="1:93" s="26" customFormat="1" ht="15">
      <c r="A15" s="36">
        <v>10</v>
      </c>
      <c r="B15" s="51"/>
      <c r="C15" s="2" t="s">
        <v>100</v>
      </c>
      <c r="D15" s="10">
        <v>20087.97</v>
      </c>
      <c r="E15" s="102">
        <v>1.055</v>
      </c>
      <c r="F15" s="10">
        <f t="shared" si="4"/>
        <v>21192.80835</v>
      </c>
      <c r="G15" s="11">
        <f t="shared" si="5"/>
        <v>241055.64</v>
      </c>
      <c r="H15" s="10">
        <f t="shared" si="6"/>
        <v>72798.8</v>
      </c>
      <c r="I15" s="28">
        <f t="shared" si="7"/>
        <v>313854.44</v>
      </c>
      <c r="J15" s="13">
        <f t="shared" si="8"/>
        <v>219698.10799999998</v>
      </c>
      <c r="K15" s="10"/>
      <c r="L15" s="102">
        <v>1.055</v>
      </c>
      <c r="M15" s="10">
        <f t="shared" si="9"/>
        <v>0</v>
      </c>
      <c r="N15" s="11">
        <f t="shared" si="10"/>
        <v>0</v>
      </c>
      <c r="O15" s="10">
        <f t="shared" si="11"/>
        <v>0</v>
      </c>
      <c r="P15" s="12">
        <f t="shared" si="12"/>
        <v>0</v>
      </c>
      <c r="Q15" s="45">
        <v>1.5</v>
      </c>
      <c r="R15" s="10">
        <f t="shared" si="13"/>
        <v>336222</v>
      </c>
      <c r="S15" s="10">
        <f t="shared" si="14"/>
        <v>101539.04</v>
      </c>
      <c r="T15" s="44">
        <f t="shared" si="15"/>
        <v>437761.04</v>
      </c>
      <c r="U15" s="39">
        <f t="shared" si="16"/>
        <v>354586.4424</v>
      </c>
      <c r="V15" s="44">
        <f>64188.35*12*1.302</f>
        <v>1002878.7803999999</v>
      </c>
      <c r="W15" s="44">
        <v>0</v>
      </c>
      <c r="X15" s="67">
        <f t="shared" si="17"/>
        <v>1577163.3307999999</v>
      </c>
      <c r="Y15" s="67"/>
      <c r="Z15" s="67"/>
      <c r="AA15" s="69">
        <v>3587</v>
      </c>
      <c r="AB15" s="67">
        <f t="shared" si="0"/>
        <v>43044</v>
      </c>
      <c r="AC15" s="67">
        <v>4000</v>
      </c>
      <c r="AD15" s="67">
        <v>12150</v>
      </c>
      <c r="AE15" s="67">
        <v>5500</v>
      </c>
      <c r="AF15" s="67">
        <f t="shared" si="1"/>
        <v>1800</v>
      </c>
      <c r="AG15" s="67">
        <v>2000</v>
      </c>
      <c r="AH15" s="67">
        <f>30000</f>
        <v>30000</v>
      </c>
      <c r="AI15" s="69"/>
      <c r="AJ15" s="69"/>
      <c r="AK15" s="135">
        <f t="shared" si="18"/>
        <v>1675657.3307999999</v>
      </c>
      <c r="AM15" s="36">
        <v>1</v>
      </c>
      <c r="AN15" s="36">
        <v>200</v>
      </c>
      <c r="AO15" s="36">
        <f t="shared" si="49"/>
        <v>20</v>
      </c>
      <c r="AP15" s="81">
        <f t="shared" si="44"/>
        <v>4000</v>
      </c>
      <c r="AQ15" s="36">
        <f t="shared" si="45"/>
        <v>600</v>
      </c>
      <c r="AR15" s="36">
        <f t="shared" si="46"/>
        <v>600</v>
      </c>
      <c r="AS15" s="36">
        <v>550</v>
      </c>
      <c r="AT15" s="36">
        <v>21</v>
      </c>
      <c r="AU15" s="37">
        <f t="shared" si="47"/>
        <v>11550</v>
      </c>
      <c r="AV15" s="81">
        <f t="shared" si="48"/>
        <v>12150</v>
      </c>
      <c r="AW15" s="37"/>
      <c r="AX15" s="37"/>
      <c r="AY15" s="37" t="e">
        <f>(J15+#REF!+U15+#REF!+V15+W15)/12</f>
        <v>#REF!</v>
      </c>
      <c r="BA15" s="80">
        <f t="shared" si="19"/>
        <v>3587</v>
      </c>
      <c r="BC15" s="37">
        <f t="shared" si="20"/>
        <v>0</v>
      </c>
      <c r="BD15" s="37">
        <f t="shared" si="2"/>
        <v>0</v>
      </c>
      <c r="BE15" s="37"/>
      <c r="BF15" s="37">
        <f t="shared" si="21"/>
        <v>10825</v>
      </c>
      <c r="BG15" s="37">
        <f t="shared" si="22"/>
        <v>10825</v>
      </c>
      <c r="BH15" s="37">
        <f t="shared" si="23"/>
        <v>21650</v>
      </c>
      <c r="BI15" s="37"/>
      <c r="BJ15" s="37">
        <f t="shared" si="24"/>
        <v>1800</v>
      </c>
      <c r="BK15" s="37">
        <f t="shared" si="25"/>
        <v>1800</v>
      </c>
      <c r="BL15" s="37"/>
      <c r="BM15" s="37">
        <f t="shared" si="26"/>
        <v>15000</v>
      </c>
      <c r="BN15" s="37">
        <f t="shared" si="27"/>
        <v>15000</v>
      </c>
      <c r="BO15" s="37">
        <f t="shared" si="28"/>
        <v>30000</v>
      </c>
      <c r="BP15" s="36"/>
      <c r="BQ15" s="37">
        <f t="shared" si="29"/>
        <v>2000</v>
      </c>
      <c r="BR15" s="36"/>
      <c r="BS15" s="36"/>
      <c r="BT15" s="37">
        <f t="shared" si="30"/>
        <v>0</v>
      </c>
      <c r="BU15" s="37">
        <f t="shared" si="3"/>
        <v>2000</v>
      </c>
      <c r="BV15" s="36"/>
      <c r="BW15" s="37">
        <f t="shared" si="31"/>
        <v>0</v>
      </c>
      <c r="BX15" s="37">
        <f t="shared" si="32"/>
        <v>0</v>
      </c>
      <c r="CA15" s="62">
        <f t="shared" si="33"/>
        <v>0</v>
      </c>
      <c r="CB15" s="62">
        <f t="shared" si="34"/>
        <v>3800</v>
      </c>
      <c r="CC15" s="62">
        <f t="shared" si="35"/>
        <v>10825</v>
      </c>
      <c r="CD15" s="62">
        <f t="shared" si="36"/>
        <v>10825</v>
      </c>
      <c r="CE15" s="62"/>
      <c r="CF15" s="62"/>
      <c r="CG15" s="62">
        <f t="shared" si="37"/>
        <v>15000</v>
      </c>
      <c r="CH15" s="62">
        <f t="shared" si="38"/>
        <v>15000</v>
      </c>
      <c r="CI15" s="62">
        <f t="shared" si="39"/>
        <v>0</v>
      </c>
      <c r="CJ15" s="62"/>
      <c r="CK15" s="62"/>
      <c r="CL15" s="62">
        <f t="shared" si="40"/>
        <v>0</v>
      </c>
      <c r="CM15" s="62">
        <f t="shared" si="41"/>
        <v>55450</v>
      </c>
      <c r="CN15" s="62">
        <f t="shared" si="42"/>
        <v>55450</v>
      </c>
      <c r="CO15" s="62">
        <f t="shared" si="43"/>
        <v>0</v>
      </c>
    </row>
    <row r="16" spans="1:93" s="26" customFormat="1" ht="15" customHeight="1">
      <c r="A16" s="36">
        <v>11</v>
      </c>
      <c r="B16" s="51"/>
      <c r="C16" s="2" t="s">
        <v>101</v>
      </c>
      <c r="D16" s="10">
        <v>25868.56</v>
      </c>
      <c r="E16" s="102">
        <v>1.055</v>
      </c>
      <c r="F16" s="10">
        <f t="shared" si="4"/>
        <v>27291.3308</v>
      </c>
      <c r="G16" s="11">
        <f t="shared" si="5"/>
        <v>310422.72</v>
      </c>
      <c r="H16" s="10">
        <f t="shared" si="6"/>
        <v>93747.66</v>
      </c>
      <c r="I16" s="28">
        <f t="shared" si="7"/>
        <v>404170.38</v>
      </c>
      <c r="J16" s="13">
        <f t="shared" si="8"/>
        <v>282919.266</v>
      </c>
      <c r="K16" s="10"/>
      <c r="L16" s="102">
        <v>1.055</v>
      </c>
      <c r="M16" s="10">
        <f t="shared" si="9"/>
        <v>0</v>
      </c>
      <c r="N16" s="11">
        <f t="shared" si="10"/>
        <v>0</v>
      </c>
      <c r="O16" s="10">
        <f t="shared" si="11"/>
        <v>0</v>
      </c>
      <c r="P16" s="12">
        <f t="shared" si="12"/>
        <v>0</v>
      </c>
      <c r="Q16" s="45">
        <v>1.25</v>
      </c>
      <c r="R16" s="10">
        <f t="shared" si="13"/>
        <v>280185</v>
      </c>
      <c r="S16" s="10">
        <f t="shared" si="14"/>
        <v>84615.87</v>
      </c>
      <c r="T16" s="44">
        <f t="shared" si="15"/>
        <v>364800.87</v>
      </c>
      <c r="U16" s="39">
        <f t="shared" si="16"/>
        <v>295488.7047</v>
      </c>
      <c r="V16" s="44">
        <f>56800.28*12*1.302</f>
        <v>887447.57472</v>
      </c>
      <c r="W16" s="44">
        <v>0</v>
      </c>
      <c r="X16" s="67">
        <f t="shared" si="17"/>
        <v>1465855.5454199999</v>
      </c>
      <c r="Y16" s="67">
        <f>1*18679*1.3</f>
        <v>24282.7</v>
      </c>
      <c r="Z16" s="67"/>
      <c r="AA16" s="69">
        <v>3587</v>
      </c>
      <c r="AB16" s="67">
        <f t="shared" si="0"/>
        <v>43044</v>
      </c>
      <c r="AC16" s="67">
        <v>8000</v>
      </c>
      <c r="AD16" s="67">
        <v>24300</v>
      </c>
      <c r="AE16" s="67">
        <v>11000</v>
      </c>
      <c r="AF16" s="67">
        <f>400*6</f>
        <v>2400</v>
      </c>
      <c r="AG16" s="67">
        <v>2000</v>
      </c>
      <c r="AH16" s="67">
        <f>30000</f>
        <v>30000</v>
      </c>
      <c r="AI16" s="69"/>
      <c r="AJ16" s="69"/>
      <c r="AK16" s="135">
        <f t="shared" si="18"/>
        <v>1610882.2454199998</v>
      </c>
      <c r="AM16" s="36">
        <v>2</v>
      </c>
      <c r="AN16" s="36">
        <v>200</v>
      </c>
      <c r="AO16" s="36">
        <f t="shared" si="49"/>
        <v>20</v>
      </c>
      <c r="AP16" s="81">
        <f t="shared" si="44"/>
        <v>8000</v>
      </c>
      <c r="AQ16" s="36">
        <f t="shared" si="45"/>
        <v>600</v>
      </c>
      <c r="AR16" s="36">
        <f t="shared" si="46"/>
        <v>1200</v>
      </c>
      <c r="AS16" s="36">
        <v>550</v>
      </c>
      <c r="AT16" s="36">
        <v>21</v>
      </c>
      <c r="AU16" s="37">
        <f t="shared" si="47"/>
        <v>23100</v>
      </c>
      <c r="AV16" s="81">
        <f t="shared" si="48"/>
        <v>24300</v>
      </c>
      <c r="AW16" s="37"/>
      <c r="AX16" s="37"/>
      <c r="AY16" s="37" t="e">
        <f>(J16+#REF!+U16+#REF!+V16+W16)/12</f>
        <v>#REF!</v>
      </c>
      <c r="BA16" s="80">
        <f t="shared" si="19"/>
        <v>3587</v>
      </c>
      <c r="BC16" s="37">
        <f t="shared" si="20"/>
        <v>0</v>
      </c>
      <c r="BD16" s="37">
        <f t="shared" si="2"/>
        <v>0</v>
      </c>
      <c r="BE16" s="37"/>
      <c r="BF16" s="37">
        <f t="shared" si="21"/>
        <v>21650</v>
      </c>
      <c r="BG16" s="37">
        <f t="shared" si="22"/>
        <v>21650</v>
      </c>
      <c r="BH16" s="37">
        <f t="shared" si="23"/>
        <v>43300</v>
      </c>
      <c r="BI16" s="37"/>
      <c r="BJ16" s="37">
        <f t="shared" si="24"/>
        <v>2400</v>
      </c>
      <c r="BK16" s="37">
        <f t="shared" si="25"/>
        <v>2400</v>
      </c>
      <c r="BL16" s="37"/>
      <c r="BM16" s="37">
        <f t="shared" si="26"/>
        <v>15000</v>
      </c>
      <c r="BN16" s="37">
        <f t="shared" si="27"/>
        <v>15000</v>
      </c>
      <c r="BO16" s="37">
        <f t="shared" si="28"/>
        <v>30000</v>
      </c>
      <c r="BP16" s="36"/>
      <c r="BQ16" s="37">
        <f t="shared" si="29"/>
        <v>2000</v>
      </c>
      <c r="BR16" s="36"/>
      <c r="BS16" s="36"/>
      <c r="BT16" s="37">
        <f t="shared" si="30"/>
        <v>0</v>
      </c>
      <c r="BU16" s="37">
        <f t="shared" si="3"/>
        <v>2000</v>
      </c>
      <c r="BV16" s="36"/>
      <c r="BW16" s="37">
        <f t="shared" si="31"/>
        <v>0</v>
      </c>
      <c r="BX16" s="37">
        <f t="shared" si="32"/>
        <v>0</v>
      </c>
      <c r="CA16" s="62">
        <f t="shared" si="33"/>
        <v>0</v>
      </c>
      <c r="CB16" s="62">
        <f t="shared" si="34"/>
        <v>4400</v>
      </c>
      <c r="CC16" s="62">
        <f t="shared" si="35"/>
        <v>21650</v>
      </c>
      <c r="CD16" s="62">
        <f t="shared" si="36"/>
        <v>21650</v>
      </c>
      <c r="CE16" s="62"/>
      <c r="CF16" s="62"/>
      <c r="CG16" s="62">
        <f t="shared" si="37"/>
        <v>15000</v>
      </c>
      <c r="CH16" s="62">
        <f t="shared" si="38"/>
        <v>15000</v>
      </c>
      <c r="CI16" s="62">
        <f t="shared" si="39"/>
        <v>0</v>
      </c>
      <c r="CJ16" s="62"/>
      <c r="CK16" s="62"/>
      <c r="CL16" s="62">
        <f t="shared" si="40"/>
        <v>0</v>
      </c>
      <c r="CM16" s="62">
        <f t="shared" si="41"/>
        <v>77700</v>
      </c>
      <c r="CN16" s="62">
        <f t="shared" si="42"/>
        <v>77700</v>
      </c>
      <c r="CO16" s="62">
        <f t="shared" si="43"/>
        <v>0</v>
      </c>
    </row>
    <row r="17" spans="1:93" s="26" customFormat="1" ht="15" customHeight="1">
      <c r="A17" s="36">
        <v>12</v>
      </c>
      <c r="B17" s="51"/>
      <c r="C17" s="2" t="s">
        <v>102</v>
      </c>
      <c r="D17" s="10">
        <v>22494</v>
      </c>
      <c r="E17" s="102">
        <v>1.055</v>
      </c>
      <c r="F17" s="10">
        <f t="shared" si="4"/>
        <v>23731.17</v>
      </c>
      <c r="G17" s="11">
        <f t="shared" si="5"/>
        <v>269928</v>
      </c>
      <c r="H17" s="10">
        <f t="shared" si="6"/>
        <v>81518.26</v>
      </c>
      <c r="I17" s="28">
        <f t="shared" si="7"/>
        <v>351446.26</v>
      </c>
      <c r="J17" s="13">
        <f t="shared" si="8"/>
        <v>246012.38199999998</v>
      </c>
      <c r="K17" s="10"/>
      <c r="L17" s="102">
        <v>1.055</v>
      </c>
      <c r="M17" s="10">
        <f t="shared" si="9"/>
        <v>0</v>
      </c>
      <c r="N17" s="11">
        <f t="shared" si="10"/>
        <v>0</v>
      </c>
      <c r="O17" s="10">
        <f t="shared" si="11"/>
        <v>0</v>
      </c>
      <c r="P17" s="12">
        <f t="shared" si="12"/>
        <v>0</v>
      </c>
      <c r="Q17" s="45">
        <v>1</v>
      </c>
      <c r="R17" s="10">
        <f t="shared" si="13"/>
        <v>224148</v>
      </c>
      <c r="S17" s="10">
        <f t="shared" si="14"/>
        <v>67692.7</v>
      </c>
      <c r="T17" s="44">
        <f t="shared" si="15"/>
        <v>291840.7</v>
      </c>
      <c r="U17" s="39">
        <f t="shared" si="16"/>
        <v>236390.96700000003</v>
      </c>
      <c r="V17" s="44">
        <f>35944*12*1.302</f>
        <v>561589.056</v>
      </c>
      <c r="W17" s="44">
        <v>0</v>
      </c>
      <c r="X17" s="67">
        <f t="shared" si="17"/>
        <v>1043992.405</v>
      </c>
      <c r="Y17" s="67">
        <f>1*18679*1.3</f>
        <v>24282.7</v>
      </c>
      <c r="Z17" s="67"/>
      <c r="AA17" s="69">
        <v>3587</v>
      </c>
      <c r="AB17" s="67">
        <f t="shared" si="0"/>
        <v>43044</v>
      </c>
      <c r="AC17" s="67">
        <v>8000</v>
      </c>
      <c r="AD17" s="67">
        <v>24300</v>
      </c>
      <c r="AE17" s="67">
        <v>11000</v>
      </c>
      <c r="AF17" s="67">
        <f t="shared" si="1"/>
        <v>1800</v>
      </c>
      <c r="AG17" s="67">
        <v>2000</v>
      </c>
      <c r="AH17" s="67">
        <f>30000</f>
        <v>30000</v>
      </c>
      <c r="AI17" s="69"/>
      <c r="AJ17" s="69"/>
      <c r="AK17" s="135">
        <f t="shared" si="18"/>
        <v>1188419.105</v>
      </c>
      <c r="AM17" s="36">
        <v>2</v>
      </c>
      <c r="AN17" s="36">
        <v>200</v>
      </c>
      <c r="AO17" s="36">
        <f t="shared" si="49"/>
        <v>20</v>
      </c>
      <c r="AP17" s="81">
        <f t="shared" si="44"/>
        <v>8000</v>
      </c>
      <c r="AQ17" s="36">
        <f t="shared" si="45"/>
        <v>600</v>
      </c>
      <c r="AR17" s="36">
        <f t="shared" si="46"/>
        <v>1200</v>
      </c>
      <c r="AS17" s="36">
        <v>550</v>
      </c>
      <c r="AT17" s="36">
        <v>21</v>
      </c>
      <c r="AU17" s="37">
        <f t="shared" si="47"/>
        <v>23100</v>
      </c>
      <c r="AV17" s="81">
        <f t="shared" si="48"/>
        <v>24300</v>
      </c>
      <c r="AW17" s="37"/>
      <c r="AX17" s="37"/>
      <c r="AY17" s="37" t="e">
        <f>(J17+#REF!+U17+#REF!+V17+W17)/12</f>
        <v>#REF!</v>
      </c>
      <c r="BA17" s="80">
        <f t="shared" si="19"/>
        <v>3587</v>
      </c>
      <c r="BC17" s="37">
        <f t="shared" si="20"/>
        <v>0</v>
      </c>
      <c r="BD17" s="37">
        <f t="shared" si="2"/>
        <v>0</v>
      </c>
      <c r="BE17" s="37"/>
      <c r="BF17" s="37">
        <f t="shared" si="21"/>
        <v>21650</v>
      </c>
      <c r="BG17" s="37">
        <f t="shared" si="22"/>
        <v>21650</v>
      </c>
      <c r="BH17" s="37">
        <f t="shared" si="23"/>
        <v>43300</v>
      </c>
      <c r="BI17" s="37"/>
      <c r="BJ17" s="37">
        <f t="shared" si="24"/>
        <v>1800</v>
      </c>
      <c r="BK17" s="37">
        <f t="shared" si="25"/>
        <v>1800</v>
      </c>
      <c r="BL17" s="37"/>
      <c r="BM17" s="37">
        <f t="shared" si="26"/>
        <v>15000</v>
      </c>
      <c r="BN17" s="37">
        <f t="shared" si="27"/>
        <v>15000</v>
      </c>
      <c r="BO17" s="37">
        <f t="shared" si="28"/>
        <v>30000</v>
      </c>
      <c r="BP17" s="36"/>
      <c r="BQ17" s="37">
        <f t="shared" si="29"/>
        <v>2000</v>
      </c>
      <c r="BR17" s="36"/>
      <c r="BS17" s="36"/>
      <c r="BT17" s="37">
        <f t="shared" si="30"/>
        <v>0</v>
      </c>
      <c r="BU17" s="37">
        <f t="shared" si="3"/>
        <v>2000</v>
      </c>
      <c r="BV17" s="36"/>
      <c r="BW17" s="37">
        <f t="shared" si="31"/>
        <v>0</v>
      </c>
      <c r="BX17" s="37">
        <f t="shared" si="32"/>
        <v>0</v>
      </c>
      <c r="CA17" s="62">
        <f t="shared" si="33"/>
        <v>0</v>
      </c>
      <c r="CB17" s="62">
        <f t="shared" si="34"/>
        <v>3800</v>
      </c>
      <c r="CC17" s="62">
        <f t="shared" si="35"/>
        <v>21650</v>
      </c>
      <c r="CD17" s="62">
        <f t="shared" si="36"/>
        <v>21650</v>
      </c>
      <c r="CE17" s="62"/>
      <c r="CF17" s="62"/>
      <c r="CG17" s="62">
        <f t="shared" si="37"/>
        <v>15000</v>
      </c>
      <c r="CH17" s="62">
        <f t="shared" si="38"/>
        <v>15000</v>
      </c>
      <c r="CI17" s="62">
        <f t="shared" si="39"/>
        <v>0</v>
      </c>
      <c r="CJ17" s="62"/>
      <c r="CK17" s="62"/>
      <c r="CL17" s="62">
        <f t="shared" si="40"/>
        <v>0</v>
      </c>
      <c r="CM17" s="62">
        <f t="shared" si="41"/>
        <v>77100</v>
      </c>
      <c r="CN17" s="62">
        <f t="shared" si="42"/>
        <v>77100</v>
      </c>
      <c r="CO17" s="62">
        <f t="shared" si="43"/>
        <v>0</v>
      </c>
    </row>
    <row r="18" spans="1:93" s="26" customFormat="1" ht="15">
      <c r="A18" s="36">
        <v>13</v>
      </c>
      <c r="B18" s="51"/>
      <c r="C18" s="2" t="s">
        <v>103</v>
      </c>
      <c r="D18" s="10">
        <v>17717.25</v>
      </c>
      <c r="E18" s="102">
        <v>1.055</v>
      </c>
      <c r="F18" s="10">
        <f t="shared" si="4"/>
        <v>18691.69875</v>
      </c>
      <c r="G18" s="11">
        <f t="shared" si="5"/>
        <v>212607</v>
      </c>
      <c r="H18" s="10">
        <f t="shared" si="6"/>
        <v>64207.31</v>
      </c>
      <c r="I18" s="28">
        <f t="shared" si="7"/>
        <v>276814.31</v>
      </c>
      <c r="J18" s="13">
        <f t="shared" si="8"/>
        <v>193770.017</v>
      </c>
      <c r="K18" s="10"/>
      <c r="L18" s="102">
        <v>1.055</v>
      </c>
      <c r="M18" s="10">
        <f t="shared" si="9"/>
        <v>0</v>
      </c>
      <c r="N18" s="11">
        <f t="shared" si="10"/>
        <v>0</v>
      </c>
      <c r="O18" s="10">
        <f t="shared" si="11"/>
        <v>0</v>
      </c>
      <c r="P18" s="12">
        <f t="shared" si="12"/>
        <v>0</v>
      </c>
      <c r="Q18" s="45">
        <v>1.5</v>
      </c>
      <c r="R18" s="10">
        <f t="shared" si="13"/>
        <v>336222</v>
      </c>
      <c r="S18" s="10">
        <f t="shared" si="14"/>
        <v>101539.04</v>
      </c>
      <c r="T18" s="44">
        <f t="shared" si="15"/>
        <v>437761.04</v>
      </c>
      <c r="U18" s="39">
        <f t="shared" si="16"/>
        <v>354586.4424</v>
      </c>
      <c r="V18" s="44">
        <f>29752.97*12*1.302</f>
        <v>464860.40328</v>
      </c>
      <c r="W18" s="44">
        <v>0</v>
      </c>
      <c r="X18" s="67">
        <f t="shared" si="17"/>
        <v>1013216.86268</v>
      </c>
      <c r="Y18" s="67">
        <f>1*18679*1.3</f>
        <v>24282.7</v>
      </c>
      <c r="Z18" s="67"/>
      <c r="AA18" s="69">
        <v>893</v>
      </c>
      <c r="AB18" s="67">
        <f t="shared" si="0"/>
        <v>10716</v>
      </c>
      <c r="AC18" s="67">
        <v>12000</v>
      </c>
      <c r="AD18" s="67">
        <v>36450</v>
      </c>
      <c r="AE18" s="67">
        <v>16500</v>
      </c>
      <c r="AF18" s="67">
        <f>450*6</f>
        <v>2700</v>
      </c>
      <c r="AG18" s="67">
        <v>2000</v>
      </c>
      <c r="AH18" s="67">
        <f>30000</f>
        <v>30000</v>
      </c>
      <c r="AI18" s="69"/>
      <c r="AJ18" s="69"/>
      <c r="AK18" s="135">
        <f t="shared" si="18"/>
        <v>1147865.56268</v>
      </c>
      <c r="AM18" s="36">
        <v>3</v>
      </c>
      <c r="AN18" s="36">
        <v>200</v>
      </c>
      <c r="AO18" s="36">
        <f t="shared" si="49"/>
        <v>20</v>
      </c>
      <c r="AP18" s="81">
        <f t="shared" si="44"/>
        <v>12000</v>
      </c>
      <c r="AQ18" s="36">
        <f t="shared" si="45"/>
        <v>600</v>
      </c>
      <c r="AR18" s="36">
        <f t="shared" si="46"/>
        <v>1800</v>
      </c>
      <c r="AS18" s="36">
        <v>550</v>
      </c>
      <c r="AT18" s="36">
        <v>21</v>
      </c>
      <c r="AU18" s="37">
        <f t="shared" si="47"/>
        <v>34650</v>
      </c>
      <c r="AV18" s="81">
        <f t="shared" si="48"/>
        <v>36450</v>
      </c>
      <c r="AW18" s="37"/>
      <c r="AX18" s="37"/>
      <c r="AY18" s="37" t="e">
        <f>(J18+#REF!+U18+#REF!+V18+W18)/12</f>
        <v>#REF!</v>
      </c>
      <c r="BA18" s="80">
        <f t="shared" si="19"/>
        <v>893</v>
      </c>
      <c r="BC18" s="37">
        <f t="shared" si="20"/>
        <v>0</v>
      </c>
      <c r="BD18" s="37">
        <f t="shared" si="2"/>
        <v>0</v>
      </c>
      <c r="BE18" s="37"/>
      <c r="BF18" s="37">
        <f t="shared" si="21"/>
        <v>32475</v>
      </c>
      <c r="BG18" s="37">
        <f t="shared" si="22"/>
        <v>32475</v>
      </c>
      <c r="BH18" s="37">
        <f t="shared" si="23"/>
        <v>64950</v>
      </c>
      <c r="BI18" s="37"/>
      <c r="BJ18" s="37">
        <f t="shared" si="24"/>
        <v>2700</v>
      </c>
      <c r="BK18" s="37">
        <f t="shared" si="25"/>
        <v>2700</v>
      </c>
      <c r="BL18" s="37"/>
      <c r="BM18" s="37">
        <f t="shared" si="26"/>
        <v>15000</v>
      </c>
      <c r="BN18" s="37">
        <f t="shared" si="27"/>
        <v>15000</v>
      </c>
      <c r="BO18" s="37">
        <f t="shared" si="28"/>
        <v>30000</v>
      </c>
      <c r="BP18" s="36"/>
      <c r="BQ18" s="37">
        <f t="shared" si="29"/>
        <v>2000</v>
      </c>
      <c r="BR18" s="36"/>
      <c r="BS18" s="36"/>
      <c r="BT18" s="37">
        <f t="shared" si="30"/>
        <v>0</v>
      </c>
      <c r="BU18" s="37">
        <f t="shared" si="3"/>
        <v>2000</v>
      </c>
      <c r="BV18" s="36"/>
      <c r="BW18" s="37">
        <f t="shared" si="31"/>
        <v>0</v>
      </c>
      <c r="BX18" s="37">
        <f t="shared" si="32"/>
        <v>0</v>
      </c>
      <c r="CA18" s="62">
        <f t="shared" si="33"/>
        <v>0</v>
      </c>
      <c r="CB18" s="62">
        <f t="shared" si="34"/>
        <v>4700</v>
      </c>
      <c r="CC18" s="62">
        <f t="shared" si="35"/>
        <v>32475</v>
      </c>
      <c r="CD18" s="62">
        <f t="shared" si="36"/>
        <v>32475</v>
      </c>
      <c r="CE18" s="62"/>
      <c r="CF18" s="62"/>
      <c r="CG18" s="62">
        <f t="shared" si="37"/>
        <v>15000</v>
      </c>
      <c r="CH18" s="62">
        <f t="shared" si="38"/>
        <v>15000</v>
      </c>
      <c r="CI18" s="62">
        <f t="shared" si="39"/>
        <v>0</v>
      </c>
      <c r="CJ18" s="62"/>
      <c r="CK18" s="62"/>
      <c r="CL18" s="62">
        <f t="shared" si="40"/>
        <v>0</v>
      </c>
      <c r="CM18" s="62">
        <f t="shared" si="41"/>
        <v>99650</v>
      </c>
      <c r="CN18" s="62">
        <f t="shared" si="42"/>
        <v>99650</v>
      </c>
      <c r="CO18" s="62">
        <f t="shared" si="43"/>
        <v>0</v>
      </c>
    </row>
    <row r="19" spans="1:93" s="56" customFormat="1" ht="15">
      <c r="A19" s="55">
        <v>14</v>
      </c>
      <c r="B19" s="51"/>
      <c r="C19" s="18" t="s">
        <v>104</v>
      </c>
      <c r="D19" s="19">
        <v>22411.2</v>
      </c>
      <c r="E19" s="103">
        <v>1.055</v>
      </c>
      <c r="F19" s="19">
        <f t="shared" si="4"/>
        <v>23643.816</v>
      </c>
      <c r="G19" s="20">
        <f t="shared" si="5"/>
        <v>268934.4</v>
      </c>
      <c r="H19" s="19">
        <f t="shared" si="6"/>
        <v>81218.19</v>
      </c>
      <c r="I19" s="29">
        <f t="shared" si="7"/>
        <v>350152.59</v>
      </c>
      <c r="J19" s="21">
        <f t="shared" si="8"/>
        <v>245106.813</v>
      </c>
      <c r="K19" s="19"/>
      <c r="L19" s="103">
        <v>1.055</v>
      </c>
      <c r="M19" s="19">
        <f t="shared" si="9"/>
        <v>0</v>
      </c>
      <c r="N19" s="20">
        <f t="shared" si="10"/>
        <v>0</v>
      </c>
      <c r="O19" s="19">
        <f t="shared" si="11"/>
        <v>0</v>
      </c>
      <c r="P19" s="21">
        <f t="shared" si="12"/>
        <v>0</v>
      </c>
      <c r="Q19" s="43">
        <v>2.3</v>
      </c>
      <c r="R19" s="19">
        <f t="shared" si="13"/>
        <v>515540.4</v>
      </c>
      <c r="S19" s="19">
        <f t="shared" si="14"/>
        <v>155693.2</v>
      </c>
      <c r="T19" s="46">
        <f t="shared" si="15"/>
        <v>671233.6000000001</v>
      </c>
      <c r="U19" s="43">
        <f t="shared" si="16"/>
        <v>543699.2160000001</v>
      </c>
      <c r="V19" s="46">
        <f>66497.32*12*1.302</f>
        <v>1038954.1276800002</v>
      </c>
      <c r="W19" s="46">
        <v>0</v>
      </c>
      <c r="X19" s="68">
        <f t="shared" si="17"/>
        <v>1827760.1566800002</v>
      </c>
      <c r="Y19" s="68"/>
      <c r="Z19" s="68"/>
      <c r="AA19" s="70">
        <v>3587</v>
      </c>
      <c r="AB19" s="68">
        <f t="shared" si="0"/>
        <v>43044</v>
      </c>
      <c r="AC19" s="68">
        <v>16000</v>
      </c>
      <c r="AD19" s="68">
        <v>48600</v>
      </c>
      <c r="AE19" s="68">
        <v>22000</v>
      </c>
      <c r="AF19" s="68">
        <f>450*6</f>
        <v>2700</v>
      </c>
      <c r="AG19" s="68">
        <v>2000</v>
      </c>
      <c r="AH19" s="68">
        <f>30000</f>
        <v>30000</v>
      </c>
      <c r="AI19" s="70"/>
      <c r="AJ19" s="70"/>
      <c r="AK19" s="135">
        <f t="shared" si="18"/>
        <v>1992104.1566800002</v>
      </c>
      <c r="AM19" s="63">
        <v>4</v>
      </c>
      <c r="AN19" s="36">
        <v>200</v>
      </c>
      <c r="AO19" s="36">
        <v>20</v>
      </c>
      <c r="AP19" s="81">
        <f t="shared" si="44"/>
        <v>16000</v>
      </c>
      <c r="AQ19" s="36">
        <f t="shared" si="45"/>
        <v>600</v>
      </c>
      <c r="AR19" s="36">
        <f t="shared" si="46"/>
        <v>2400</v>
      </c>
      <c r="AS19" s="36">
        <v>550</v>
      </c>
      <c r="AT19" s="36">
        <v>21</v>
      </c>
      <c r="AU19" s="37">
        <f t="shared" si="47"/>
        <v>46200</v>
      </c>
      <c r="AV19" s="81">
        <f t="shared" si="48"/>
        <v>48600</v>
      </c>
      <c r="AW19" s="37"/>
      <c r="AX19" s="37"/>
      <c r="AY19" s="37" t="e">
        <f>(J19+#REF!+U19+#REF!+V19+W19)/12</f>
        <v>#REF!</v>
      </c>
      <c r="BA19" s="80">
        <f t="shared" si="19"/>
        <v>3587</v>
      </c>
      <c r="BC19" s="37">
        <f t="shared" si="20"/>
        <v>0</v>
      </c>
      <c r="BD19" s="37">
        <f t="shared" si="2"/>
        <v>0</v>
      </c>
      <c r="BE19" s="81"/>
      <c r="BF19" s="37">
        <f t="shared" si="21"/>
        <v>43300</v>
      </c>
      <c r="BG19" s="37">
        <f t="shared" si="22"/>
        <v>43300</v>
      </c>
      <c r="BH19" s="37">
        <f t="shared" si="23"/>
        <v>86600</v>
      </c>
      <c r="BI19" s="37"/>
      <c r="BJ19" s="37">
        <f t="shared" si="24"/>
        <v>2700</v>
      </c>
      <c r="BK19" s="37">
        <f t="shared" si="25"/>
        <v>2700</v>
      </c>
      <c r="BL19" s="81"/>
      <c r="BM19" s="37">
        <f t="shared" si="26"/>
        <v>15000</v>
      </c>
      <c r="BN19" s="37">
        <f t="shared" si="27"/>
        <v>15000</v>
      </c>
      <c r="BO19" s="37">
        <f t="shared" si="28"/>
        <v>30000</v>
      </c>
      <c r="BP19" s="55"/>
      <c r="BQ19" s="37">
        <f t="shared" si="29"/>
        <v>2000</v>
      </c>
      <c r="BR19" s="55"/>
      <c r="BS19" s="55"/>
      <c r="BT19" s="37">
        <f t="shared" si="30"/>
        <v>0</v>
      </c>
      <c r="BU19" s="37">
        <f t="shared" si="3"/>
        <v>2000</v>
      </c>
      <c r="BV19" s="55"/>
      <c r="BW19" s="37">
        <f t="shared" si="31"/>
        <v>0</v>
      </c>
      <c r="BX19" s="37">
        <f t="shared" si="32"/>
        <v>0</v>
      </c>
      <c r="CA19" s="62">
        <f t="shared" si="33"/>
        <v>0</v>
      </c>
      <c r="CB19" s="62">
        <f t="shared" si="34"/>
        <v>4700</v>
      </c>
      <c r="CC19" s="62">
        <f t="shared" si="35"/>
        <v>43300</v>
      </c>
      <c r="CD19" s="62">
        <f t="shared" si="36"/>
        <v>43300</v>
      </c>
      <c r="CE19" s="62"/>
      <c r="CF19" s="62"/>
      <c r="CG19" s="62">
        <f t="shared" si="37"/>
        <v>15000</v>
      </c>
      <c r="CH19" s="62">
        <f t="shared" si="38"/>
        <v>15000</v>
      </c>
      <c r="CI19" s="62">
        <f t="shared" si="39"/>
        <v>0</v>
      </c>
      <c r="CJ19" s="62"/>
      <c r="CK19" s="62"/>
      <c r="CL19" s="62">
        <f t="shared" si="40"/>
        <v>0</v>
      </c>
      <c r="CM19" s="62">
        <f t="shared" si="41"/>
        <v>121300</v>
      </c>
      <c r="CN19" s="62">
        <f t="shared" si="42"/>
        <v>121300</v>
      </c>
      <c r="CO19" s="62">
        <f t="shared" si="43"/>
        <v>0</v>
      </c>
    </row>
    <row r="20" spans="1:93" s="56" customFormat="1" ht="15" customHeight="1">
      <c r="A20" s="55">
        <v>15</v>
      </c>
      <c r="B20" s="51"/>
      <c r="C20" s="18" t="s">
        <v>105</v>
      </c>
      <c r="D20" s="19">
        <v>37411.57</v>
      </c>
      <c r="E20" s="103">
        <v>1.055</v>
      </c>
      <c r="F20" s="19">
        <f t="shared" si="4"/>
        <v>39469.20635</v>
      </c>
      <c r="G20" s="20">
        <f t="shared" si="5"/>
        <v>448938.84</v>
      </c>
      <c r="H20" s="19">
        <f t="shared" si="6"/>
        <v>135579.53</v>
      </c>
      <c r="I20" s="29">
        <f t="shared" si="7"/>
        <v>584518.37</v>
      </c>
      <c r="J20" s="21">
        <f t="shared" si="8"/>
        <v>409162.859</v>
      </c>
      <c r="K20" s="19"/>
      <c r="L20" s="103">
        <v>1.055</v>
      </c>
      <c r="M20" s="19">
        <f t="shared" si="9"/>
        <v>0</v>
      </c>
      <c r="N20" s="20">
        <f t="shared" si="10"/>
        <v>0</v>
      </c>
      <c r="O20" s="19">
        <f t="shared" si="11"/>
        <v>0</v>
      </c>
      <c r="P20" s="21">
        <f t="shared" si="12"/>
        <v>0</v>
      </c>
      <c r="Q20" s="43">
        <v>4.75</v>
      </c>
      <c r="R20" s="19">
        <f t="shared" si="13"/>
        <v>1064703</v>
      </c>
      <c r="S20" s="19">
        <f t="shared" si="14"/>
        <v>321540.31</v>
      </c>
      <c r="T20" s="46">
        <f t="shared" si="15"/>
        <v>1386243.31</v>
      </c>
      <c r="U20" s="43">
        <f t="shared" si="16"/>
        <v>1122857.0811</v>
      </c>
      <c r="V20" s="46">
        <f>255616.4*12*1.302</f>
        <v>3993750.6336</v>
      </c>
      <c r="W20" s="46">
        <v>0</v>
      </c>
      <c r="X20" s="68">
        <f t="shared" si="17"/>
        <v>5525770.5737</v>
      </c>
      <c r="Y20" s="68"/>
      <c r="Z20" s="68"/>
      <c r="AA20" s="70">
        <v>848</v>
      </c>
      <c r="AB20" s="68">
        <f t="shared" si="0"/>
        <v>10176</v>
      </c>
      <c r="AC20" s="68">
        <v>24000</v>
      </c>
      <c r="AD20" s="68">
        <v>72900</v>
      </c>
      <c r="AE20" s="68">
        <v>33000</v>
      </c>
      <c r="AF20" s="68">
        <f t="shared" si="1"/>
        <v>1800</v>
      </c>
      <c r="AG20" s="68">
        <v>2000</v>
      </c>
      <c r="AH20" s="68">
        <f>30000</f>
        <v>30000</v>
      </c>
      <c r="AI20" s="70"/>
      <c r="AJ20" s="70"/>
      <c r="AK20" s="135">
        <f t="shared" si="18"/>
        <v>5699646.5737</v>
      </c>
      <c r="AM20" s="63">
        <v>6</v>
      </c>
      <c r="AN20" s="36">
        <v>200</v>
      </c>
      <c r="AO20" s="36">
        <f t="shared" si="49"/>
        <v>20</v>
      </c>
      <c r="AP20" s="81">
        <f t="shared" si="44"/>
        <v>24000</v>
      </c>
      <c r="AQ20" s="36">
        <f t="shared" si="45"/>
        <v>600</v>
      </c>
      <c r="AR20" s="36">
        <f t="shared" si="46"/>
        <v>3600</v>
      </c>
      <c r="AS20" s="36">
        <v>550</v>
      </c>
      <c r="AT20" s="36">
        <v>21</v>
      </c>
      <c r="AU20" s="37">
        <f t="shared" si="47"/>
        <v>69300</v>
      </c>
      <c r="AV20" s="81">
        <f t="shared" si="48"/>
        <v>72900</v>
      </c>
      <c r="AW20" s="37"/>
      <c r="AX20" s="37"/>
      <c r="AY20" s="37" t="e">
        <f>(J20+#REF!+U20+#REF!+V20+W20)/12</f>
        <v>#REF!</v>
      </c>
      <c r="BA20" s="80">
        <f t="shared" si="19"/>
        <v>848</v>
      </c>
      <c r="BC20" s="37">
        <f t="shared" si="20"/>
        <v>0</v>
      </c>
      <c r="BD20" s="37">
        <f t="shared" si="2"/>
        <v>0</v>
      </c>
      <c r="BE20" s="81"/>
      <c r="BF20" s="37">
        <f t="shared" si="21"/>
        <v>64950</v>
      </c>
      <c r="BG20" s="37">
        <f t="shared" si="22"/>
        <v>64950</v>
      </c>
      <c r="BH20" s="37">
        <f t="shared" si="23"/>
        <v>129900</v>
      </c>
      <c r="BI20" s="37"/>
      <c r="BJ20" s="37">
        <f t="shared" si="24"/>
        <v>1800</v>
      </c>
      <c r="BK20" s="37">
        <f t="shared" si="25"/>
        <v>1800</v>
      </c>
      <c r="BL20" s="81"/>
      <c r="BM20" s="37">
        <f t="shared" si="26"/>
        <v>15000</v>
      </c>
      <c r="BN20" s="37">
        <f t="shared" si="27"/>
        <v>15000</v>
      </c>
      <c r="BO20" s="37">
        <f t="shared" si="28"/>
        <v>30000</v>
      </c>
      <c r="BP20" s="55"/>
      <c r="BQ20" s="37">
        <f t="shared" si="29"/>
        <v>2000</v>
      </c>
      <c r="BR20" s="55"/>
      <c r="BS20" s="55"/>
      <c r="BT20" s="37">
        <f t="shared" si="30"/>
        <v>0</v>
      </c>
      <c r="BU20" s="37">
        <f t="shared" si="3"/>
        <v>2000</v>
      </c>
      <c r="BV20" s="55"/>
      <c r="BW20" s="37">
        <f t="shared" si="31"/>
        <v>0</v>
      </c>
      <c r="BX20" s="37">
        <f t="shared" si="32"/>
        <v>0</v>
      </c>
      <c r="CA20" s="62">
        <f t="shared" si="33"/>
        <v>0</v>
      </c>
      <c r="CB20" s="62">
        <f t="shared" si="34"/>
        <v>3800</v>
      </c>
      <c r="CC20" s="62">
        <f t="shared" si="35"/>
        <v>64950</v>
      </c>
      <c r="CD20" s="62">
        <f t="shared" si="36"/>
        <v>64950</v>
      </c>
      <c r="CE20" s="62"/>
      <c r="CF20" s="62"/>
      <c r="CG20" s="62">
        <f t="shared" si="37"/>
        <v>15000</v>
      </c>
      <c r="CH20" s="62">
        <f t="shared" si="38"/>
        <v>15000</v>
      </c>
      <c r="CI20" s="62">
        <f t="shared" si="39"/>
        <v>0</v>
      </c>
      <c r="CJ20" s="62"/>
      <c r="CK20" s="62"/>
      <c r="CL20" s="62">
        <f t="shared" si="40"/>
        <v>0</v>
      </c>
      <c r="CM20" s="62">
        <f t="shared" si="41"/>
        <v>163700</v>
      </c>
      <c r="CN20" s="62">
        <f t="shared" si="42"/>
        <v>163700</v>
      </c>
      <c r="CO20" s="62">
        <f t="shared" si="43"/>
        <v>0</v>
      </c>
    </row>
    <row r="21" spans="1:93" s="56" customFormat="1" ht="15">
      <c r="A21" s="55">
        <v>16</v>
      </c>
      <c r="B21" s="51"/>
      <c r="C21" s="18" t="s">
        <v>106</v>
      </c>
      <c r="D21" s="19">
        <v>19273.43</v>
      </c>
      <c r="E21" s="103">
        <v>1.055</v>
      </c>
      <c r="F21" s="19">
        <f t="shared" si="4"/>
        <v>20333.46865</v>
      </c>
      <c r="G21" s="20">
        <f t="shared" si="5"/>
        <v>231281.16</v>
      </c>
      <c r="H21" s="19">
        <f t="shared" si="6"/>
        <v>69846.91</v>
      </c>
      <c r="I21" s="29">
        <f t="shared" si="7"/>
        <v>301128.07</v>
      </c>
      <c r="J21" s="21">
        <f t="shared" si="8"/>
        <v>210789.649</v>
      </c>
      <c r="K21" s="19"/>
      <c r="L21" s="103">
        <v>1.055</v>
      </c>
      <c r="M21" s="19">
        <f t="shared" si="9"/>
        <v>0</v>
      </c>
      <c r="N21" s="20">
        <f t="shared" si="10"/>
        <v>0</v>
      </c>
      <c r="O21" s="19">
        <f t="shared" si="11"/>
        <v>0</v>
      </c>
      <c r="P21" s="21">
        <f t="shared" si="12"/>
        <v>0</v>
      </c>
      <c r="Q21" s="43">
        <v>1</v>
      </c>
      <c r="R21" s="19">
        <f t="shared" si="13"/>
        <v>224148</v>
      </c>
      <c r="S21" s="19">
        <f t="shared" si="14"/>
        <v>67692.7</v>
      </c>
      <c r="T21" s="46">
        <f t="shared" si="15"/>
        <v>291840.7</v>
      </c>
      <c r="U21" s="43">
        <f t="shared" si="16"/>
        <v>236390.96700000003</v>
      </c>
      <c r="V21" s="46">
        <f>75881.09*12*1.302</f>
        <v>1185566.15016</v>
      </c>
      <c r="W21" s="46">
        <v>0</v>
      </c>
      <c r="X21" s="68">
        <f t="shared" si="17"/>
        <v>1632746.76616</v>
      </c>
      <c r="Y21" s="68"/>
      <c r="Z21" s="68"/>
      <c r="AA21" s="70">
        <v>3587</v>
      </c>
      <c r="AB21" s="68">
        <f t="shared" si="0"/>
        <v>43044</v>
      </c>
      <c r="AC21" s="68">
        <v>12000</v>
      </c>
      <c r="AD21" s="68">
        <v>36450</v>
      </c>
      <c r="AE21" s="68">
        <v>16500</v>
      </c>
      <c r="AF21" s="68">
        <f t="shared" si="1"/>
        <v>1800</v>
      </c>
      <c r="AG21" s="68">
        <v>2000</v>
      </c>
      <c r="AH21" s="68">
        <f>30000</f>
        <v>30000</v>
      </c>
      <c r="AI21" s="70"/>
      <c r="AJ21" s="70"/>
      <c r="AK21" s="135">
        <f t="shared" si="18"/>
        <v>1774540.76616</v>
      </c>
      <c r="AM21" s="63">
        <v>3</v>
      </c>
      <c r="AN21" s="36">
        <v>200</v>
      </c>
      <c r="AO21" s="36">
        <f t="shared" si="49"/>
        <v>20</v>
      </c>
      <c r="AP21" s="81">
        <f t="shared" si="44"/>
        <v>12000</v>
      </c>
      <c r="AQ21" s="36">
        <f t="shared" si="45"/>
        <v>600</v>
      </c>
      <c r="AR21" s="36">
        <f t="shared" si="46"/>
        <v>1800</v>
      </c>
      <c r="AS21" s="36">
        <v>550</v>
      </c>
      <c r="AT21" s="36">
        <v>21</v>
      </c>
      <c r="AU21" s="37">
        <f t="shared" si="47"/>
        <v>34650</v>
      </c>
      <c r="AV21" s="81">
        <f t="shared" si="48"/>
        <v>36450</v>
      </c>
      <c r="AW21" s="37"/>
      <c r="AX21" s="37"/>
      <c r="AY21" s="37" t="e">
        <f>(J21+#REF!+U21+#REF!+V21+W21)/12</f>
        <v>#REF!</v>
      </c>
      <c r="BA21" s="80">
        <f t="shared" si="19"/>
        <v>3587</v>
      </c>
      <c r="BC21" s="37">
        <f t="shared" si="20"/>
        <v>0</v>
      </c>
      <c r="BD21" s="37">
        <f t="shared" si="2"/>
        <v>0</v>
      </c>
      <c r="BE21" s="81"/>
      <c r="BF21" s="37">
        <f t="shared" si="21"/>
        <v>32475</v>
      </c>
      <c r="BG21" s="37">
        <f t="shared" si="22"/>
        <v>32475</v>
      </c>
      <c r="BH21" s="37">
        <f t="shared" si="23"/>
        <v>64950</v>
      </c>
      <c r="BI21" s="37"/>
      <c r="BJ21" s="37">
        <f t="shared" si="24"/>
        <v>1800</v>
      </c>
      <c r="BK21" s="37">
        <f t="shared" si="25"/>
        <v>1800</v>
      </c>
      <c r="BL21" s="81"/>
      <c r="BM21" s="37">
        <f t="shared" si="26"/>
        <v>15000</v>
      </c>
      <c r="BN21" s="37">
        <f t="shared" si="27"/>
        <v>15000</v>
      </c>
      <c r="BO21" s="37">
        <f t="shared" si="28"/>
        <v>30000</v>
      </c>
      <c r="BP21" s="55"/>
      <c r="BQ21" s="37">
        <f t="shared" si="29"/>
        <v>2000</v>
      </c>
      <c r="BR21" s="55"/>
      <c r="BS21" s="55"/>
      <c r="BT21" s="37">
        <f t="shared" si="30"/>
        <v>0</v>
      </c>
      <c r="BU21" s="37">
        <f t="shared" si="3"/>
        <v>2000</v>
      </c>
      <c r="BV21" s="55"/>
      <c r="BW21" s="37">
        <f t="shared" si="31"/>
        <v>0</v>
      </c>
      <c r="BX21" s="37">
        <f t="shared" si="32"/>
        <v>0</v>
      </c>
      <c r="CA21" s="62">
        <f t="shared" si="33"/>
        <v>0</v>
      </c>
      <c r="CB21" s="62">
        <f t="shared" si="34"/>
        <v>3800</v>
      </c>
      <c r="CC21" s="62">
        <f t="shared" si="35"/>
        <v>32475</v>
      </c>
      <c r="CD21" s="62">
        <f t="shared" si="36"/>
        <v>32475</v>
      </c>
      <c r="CE21" s="62"/>
      <c r="CF21" s="62"/>
      <c r="CG21" s="62">
        <f t="shared" si="37"/>
        <v>15000</v>
      </c>
      <c r="CH21" s="62">
        <f t="shared" si="38"/>
        <v>15000</v>
      </c>
      <c r="CI21" s="62">
        <f t="shared" si="39"/>
        <v>0</v>
      </c>
      <c r="CJ21" s="62"/>
      <c r="CK21" s="62"/>
      <c r="CL21" s="62">
        <f t="shared" si="40"/>
        <v>0</v>
      </c>
      <c r="CM21" s="62">
        <f t="shared" si="41"/>
        <v>98750</v>
      </c>
      <c r="CN21" s="62">
        <f t="shared" si="42"/>
        <v>98750</v>
      </c>
      <c r="CO21" s="62">
        <f t="shared" si="43"/>
        <v>0</v>
      </c>
    </row>
    <row r="22" spans="1:93" s="56" customFormat="1" ht="15" customHeight="1">
      <c r="A22" s="56">
        <v>17</v>
      </c>
      <c r="B22" s="51"/>
      <c r="C22" s="18" t="s">
        <v>107</v>
      </c>
      <c r="D22" s="19">
        <v>33975.83</v>
      </c>
      <c r="E22" s="103">
        <v>1.055</v>
      </c>
      <c r="F22" s="19">
        <f t="shared" si="4"/>
        <v>35844.50065</v>
      </c>
      <c r="G22" s="20">
        <f t="shared" si="5"/>
        <v>407709.96</v>
      </c>
      <c r="H22" s="19">
        <f t="shared" si="6"/>
        <v>123128.41</v>
      </c>
      <c r="I22" s="29">
        <f t="shared" si="7"/>
        <v>530838.37</v>
      </c>
      <c r="J22" s="21">
        <f t="shared" si="8"/>
        <v>371586.859</v>
      </c>
      <c r="K22" s="19"/>
      <c r="L22" s="103">
        <v>1.055</v>
      </c>
      <c r="M22" s="19">
        <f t="shared" si="9"/>
        <v>0</v>
      </c>
      <c r="N22" s="20">
        <f t="shared" si="10"/>
        <v>0</v>
      </c>
      <c r="O22" s="19">
        <f t="shared" si="11"/>
        <v>0</v>
      </c>
      <c r="P22" s="21">
        <f t="shared" si="12"/>
        <v>0</v>
      </c>
      <c r="Q22" s="43">
        <v>9</v>
      </c>
      <c r="R22" s="19">
        <f t="shared" si="13"/>
        <v>2017332</v>
      </c>
      <c r="S22" s="19">
        <f t="shared" si="14"/>
        <v>609234.26</v>
      </c>
      <c r="T22" s="46">
        <f t="shared" si="15"/>
        <v>2626566.26</v>
      </c>
      <c r="U22" s="43">
        <f t="shared" si="16"/>
        <v>2127518.6706</v>
      </c>
      <c r="V22" s="46">
        <f>492289.02*12*1.302</f>
        <v>7691523.648480001</v>
      </c>
      <c r="W22" s="46">
        <v>0</v>
      </c>
      <c r="X22" s="68">
        <f t="shared" si="17"/>
        <v>10190629.17808</v>
      </c>
      <c r="Y22" s="68"/>
      <c r="Z22" s="68"/>
      <c r="AA22" s="70">
        <v>1899</v>
      </c>
      <c r="AB22" s="68">
        <f t="shared" si="0"/>
        <v>22788</v>
      </c>
      <c r="AC22" s="68">
        <v>24000</v>
      </c>
      <c r="AD22" s="68">
        <v>72900</v>
      </c>
      <c r="AE22" s="68">
        <v>33000</v>
      </c>
      <c r="AF22" s="68">
        <f>900*6</f>
        <v>5400</v>
      </c>
      <c r="AG22" s="68">
        <v>2000</v>
      </c>
      <c r="AH22" s="68">
        <f>30000</f>
        <v>30000</v>
      </c>
      <c r="AI22" s="70"/>
      <c r="AJ22" s="70"/>
      <c r="AK22" s="135">
        <f t="shared" si="18"/>
        <v>10380717.17808</v>
      </c>
      <c r="AM22" s="63">
        <v>6</v>
      </c>
      <c r="AN22" s="36">
        <v>200</v>
      </c>
      <c r="AO22" s="36">
        <f t="shared" si="49"/>
        <v>20</v>
      </c>
      <c r="AP22" s="81">
        <f t="shared" si="44"/>
        <v>24000</v>
      </c>
      <c r="AQ22" s="36">
        <f t="shared" si="45"/>
        <v>600</v>
      </c>
      <c r="AR22" s="36">
        <f t="shared" si="46"/>
        <v>3600</v>
      </c>
      <c r="AS22" s="36">
        <v>550</v>
      </c>
      <c r="AT22" s="36">
        <v>21</v>
      </c>
      <c r="AU22" s="37">
        <f t="shared" si="47"/>
        <v>69300</v>
      </c>
      <c r="AV22" s="81">
        <f t="shared" si="48"/>
        <v>72900</v>
      </c>
      <c r="AW22" s="37"/>
      <c r="AX22" s="37"/>
      <c r="AY22" s="37" t="e">
        <f>(J22+#REF!+U22+#REF!+V22+W22)/12</f>
        <v>#REF!</v>
      </c>
      <c r="BA22" s="80">
        <f t="shared" si="19"/>
        <v>1899</v>
      </c>
      <c r="BC22" s="37">
        <f t="shared" si="20"/>
        <v>0</v>
      </c>
      <c r="BD22" s="37">
        <f t="shared" si="2"/>
        <v>0</v>
      </c>
      <c r="BE22" s="81"/>
      <c r="BF22" s="37">
        <f t="shared" si="21"/>
        <v>64950</v>
      </c>
      <c r="BG22" s="37">
        <f t="shared" si="22"/>
        <v>64950</v>
      </c>
      <c r="BH22" s="37">
        <f t="shared" si="23"/>
        <v>129900</v>
      </c>
      <c r="BI22" s="37"/>
      <c r="BJ22" s="37">
        <f t="shared" si="24"/>
        <v>5400</v>
      </c>
      <c r="BK22" s="37">
        <f t="shared" si="25"/>
        <v>5400</v>
      </c>
      <c r="BL22" s="81"/>
      <c r="BM22" s="37">
        <f t="shared" si="26"/>
        <v>15000</v>
      </c>
      <c r="BN22" s="37">
        <f t="shared" si="27"/>
        <v>15000</v>
      </c>
      <c r="BO22" s="37">
        <f t="shared" si="28"/>
        <v>30000</v>
      </c>
      <c r="BP22" s="55"/>
      <c r="BQ22" s="37">
        <f t="shared" si="29"/>
        <v>2000</v>
      </c>
      <c r="BR22" s="55"/>
      <c r="BS22" s="55"/>
      <c r="BT22" s="37">
        <f t="shared" si="30"/>
        <v>0</v>
      </c>
      <c r="BU22" s="37">
        <f t="shared" si="3"/>
        <v>2000</v>
      </c>
      <c r="BV22" s="55"/>
      <c r="BW22" s="37">
        <f t="shared" si="31"/>
        <v>0</v>
      </c>
      <c r="BX22" s="37">
        <f t="shared" si="32"/>
        <v>0</v>
      </c>
      <c r="CA22" s="62">
        <f t="shared" si="33"/>
        <v>0</v>
      </c>
      <c r="CB22" s="62">
        <f t="shared" si="34"/>
        <v>7400</v>
      </c>
      <c r="CC22" s="62">
        <f t="shared" si="35"/>
        <v>64950</v>
      </c>
      <c r="CD22" s="62">
        <f t="shared" si="36"/>
        <v>64950</v>
      </c>
      <c r="CE22" s="62"/>
      <c r="CF22" s="62"/>
      <c r="CG22" s="62">
        <f t="shared" si="37"/>
        <v>15000</v>
      </c>
      <c r="CH22" s="62">
        <f t="shared" si="38"/>
        <v>15000</v>
      </c>
      <c r="CI22" s="62">
        <f t="shared" si="39"/>
        <v>0</v>
      </c>
      <c r="CJ22" s="62"/>
      <c r="CK22" s="62"/>
      <c r="CL22" s="62">
        <f t="shared" si="40"/>
        <v>0</v>
      </c>
      <c r="CM22" s="62">
        <f t="shared" si="41"/>
        <v>167300</v>
      </c>
      <c r="CN22" s="62">
        <f t="shared" si="42"/>
        <v>167300</v>
      </c>
      <c r="CO22" s="62">
        <f t="shared" si="43"/>
        <v>0</v>
      </c>
    </row>
    <row r="23" spans="1:93" s="57" customFormat="1" ht="15" customHeight="1">
      <c r="A23" s="178" t="s">
        <v>6</v>
      </c>
      <c r="B23" s="178"/>
      <c r="C23" s="178"/>
      <c r="D23" s="71">
        <f>SUM(D6:D22)</f>
        <v>451509.685</v>
      </c>
      <c r="E23" s="71">
        <f>SUM(E6:E22)</f>
        <v>17.935</v>
      </c>
      <c r="F23" s="71">
        <f>SUM(F6:F22)</f>
        <v>476342.7176749999</v>
      </c>
      <c r="G23" s="22">
        <f aca="true" t="shared" si="50" ref="G23:CC23">SUM(G6:G22)</f>
        <v>5418116.220000001</v>
      </c>
      <c r="H23" s="22">
        <f t="shared" si="50"/>
        <v>1636271.0899999999</v>
      </c>
      <c r="I23" s="22">
        <f t="shared" si="50"/>
        <v>7054387.31</v>
      </c>
      <c r="J23" s="22">
        <f t="shared" si="50"/>
        <v>4938071.117000001</v>
      </c>
      <c r="K23" s="22">
        <f t="shared" si="50"/>
        <v>0</v>
      </c>
      <c r="L23" s="22">
        <f t="shared" si="50"/>
        <v>17.935</v>
      </c>
      <c r="M23" s="22">
        <f t="shared" si="50"/>
        <v>0</v>
      </c>
      <c r="N23" s="22">
        <f t="shared" si="50"/>
        <v>0</v>
      </c>
      <c r="O23" s="22">
        <f t="shared" si="50"/>
        <v>0</v>
      </c>
      <c r="P23" s="22">
        <f>SUM(P6:P22)</f>
        <v>0</v>
      </c>
      <c r="Q23" s="64">
        <f t="shared" si="50"/>
        <v>50.05</v>
      </c>
      <c r="R23" s="64">
        <f t="shared" si="50"/>
        <v>11218607.4</v>
      </c>
      <c r="S23" s="64">
        <f t="shared" si="50"/>
        <v>3388019.4300000016</v>
      </c>
      <c r="T23" s="64">
        <f t="shared" si="50"/>
        <v>14606626.829999994</v>
      </c>
      <c r="U23" s="64">
        <f t="shared" si="50"/>
        <v>11831367.732300002</v>
      </c>
      <c r="V23" s="64">
        <f t="shared" si="50"/>
        <v>37622423.88576</v>
      </c>
      <c r="W23" s="64">
        <f t="shared" si="50"/>
        <v>0</v>
      </c>
      <c r="X23" s="64">
        <f t="shared" si="50"/>
        <v>54391862.73506</v>
      </c>
      <c r="Y23" s="64">
        <f t="shared" si="50"/>
        <v>121413.5</v>
      </c>
      <c r="Z23" s="64">
        <f t="shared" si="50"/>
        <v>0</v>
      </c>
      <c r="AA23" s="71">
        <f t="shared" si="50"/>
        <v>37846</v>
      </c>
      <c r="AB23" s="71">
        <f>SUM(AB6:AB22)</f>
        <v>454152</v>
      </c>
      <c r="AC23" s="71">
        <f>SUM(AC6:AC22)</f>
        <v>180000</v>
      </c>
      <c r="AD23" s="71">
        <f>SUM(AD6:AD22)</f>
        <v>546750</v>
      </c>
      <c r="AE23" s="71">
        <f t="shared" si="50"/>
        <v>247500</v>
      </c>
      <c r="AF23" s="71">
        <f t="shared" si="50"/>
        <v>40200</v>
      </c>
      <c r="AG23" s="71">
        <f t="shared" si="50"/>
        <v>34000</v>
      </c>
      <c r="AH23" s="71">
        <f t="shared" si="50"/>
        <v>510000</v>
      </c>
      <c r="AI23" s="71">
        <f t="shared" si="50"/>
        <v>0</v>
      </c>
      <c r="AJ23" s="71">
        <f t="shared" si="50"/>
        <v>0</v>
      </c>
      <c r="AK23" s="71">
        <f t="shared" si="50"/>
        <v>56525878.23506</v>
      </c>
      <c r="AL23" s="115">
        <f t="shared" si="50"/>
        <v>0</v>
      </c>
      <c r="AM23" s="115">
        <f t="shared" si="50"/>
        <v>45</v>
      </c>
      <c r="AN23" s="115">
        <f t="shared" si="50"/>
        <v>3000</v>
      </c>
      <c r="AO23" s="115">
        <f t="shared" si="50"/>
        <v>280</v>
      </c>
      <c r="AP23" s="115">
        <f t="shared" si="50"/>
        <v>180000</v>
      </c>
      <c r="AQ23" s="115">
        <f t="shared" si="50"/>
        <v>9000</v>
      </c>
      <c r="AR23" s="115">
        <f t="shared" si="50"/>
        <v>27000</v>
      </c>
      <c r="AS23" s="115">
        <f t="shared" si="50"/>
        <v>8250</v>
      </c>
      <c r="AT23" s="115">
        <f t="shared" si="50"/>
        <v>315</v>
      </c>
      <c r="AU23" s="115">
        <f t="shared" si="50"/>
        <v>519750</v>
      </c>
      <c r="AV23" s="115">
        <f t="shared" si="50"/>
        <v>546750</v>
      </c>
      <c r="AW23" s="116"/>
      <c r="AX23" s="37"/>
      <c r="AY23" s="22" t="e">
        <f t="shared" si="50"/>
        <v>#REF!</v>
      </c>
      <c r="AZ23" s="22">
        <f t="shared" si="50"/>
        <v>0</v>
      </c>
      <c r="BA23" s="22">
        <f t="shared" si="50"/>
        <v>37846</v>
      </c>
      <c r="BB23" s="83">
        <f t="shared" si="50"/>
        <v>0</v>
      </c>
      <c r="BC23" s="22">
        <f t="shared" si="50"/>
        <v>0</v>
      </c>
      <c r="BD23" s="22">
        <f t="shared" si="50"/>
        <v>0</v>
      </c>
      <c r="BE23" s="22">
        <f t="shared" si="50"/>
        <v>0</v>
      </c>
      <c r="BF23" s="22">
        <f t="shared" si="50"/>
        <v>487125</v>
      </c>
      <c r="BG23" s="22">
        <f t="shared" si="50"/>
        <v>487125</v>
      </c>
      <c r="BH23" s="22">
        <f t="shared" si="50"/>
        <v>974250</v>
      </c>
      <c r="BI23" s="22">
        <f t="shared" si="50"/>
        <v>0</v>
      </c>
      <c r="BJ23" s="22">
        <f t="shared" si="50"/>
        <v>40200</v>
      </c>
      <c r="BK23" s="22">
        <f t="shared" si="50"/>
        <v>40200</v>
      </c>
      <c r="BL23" s="22">
        <f t="shared" si="50"/>
        <v>0</v>
      </c>
      <c r="BM23" s="22">
        <f t="shared" si="50"/>
        <v>255000</v>
      </c>
      <c r="BN23" s="22">
        <f t="shared" si="50"/>
        <v>255000</v>
      </c>
      <c r="BO23" s="22">
        <f t="shared" si="50"/>
        <v>510000</v>
      </c>
      <c r="BP23" s="22">
        <f t="shared" si="50"/>
        <v>0</v>
      </c>
      <c r="BQ23" s="22">
        <f t="shared" si="50"/>
        <v>34000</v>
      </c>
      <c r="BR23" s="22">
        <f t="shared" si="50"/>
        <v>0</v>
      </c>
      <c r="BS23" s="22">
        <f t="shared" si="50"/>
        <v>0</v>
      </c>
      <c r="BT23" s="22">
        <f t="shared" si="50"/>
        <v>0</v>
      </c>
      <c r="BU23" s="22">
        <f t="shared" si="50"/>
        <v>34000</v>
      </c>
      <c r="BV23" s="22">
        <f t="shared" si="50"/>
        <v>0</v>
      </c>
      <c r="BW23" s="22">
        <f t="shared" si="50"/>
        <v>0</v>
      </c>
      <c r="BX23" s="22">
        <f t="shared" si="50"/>
        <v>0</v>
      </c>
      <c r="BY23" s="23">
        <f t="shared" si="50"/>
        <v>0</v>
      </c>
      <c r="BZ23" s="22">
        <f t="shared" si="50"/>
        <v>0</v>
      </c>
      <c r="CA23" s="84">
        <f t="shared" si="50"/>
        <v>0</v>
      </c>
      <c r="CB23" s="84">
        <f t="shared" si="50"/>
        <v>74200</v>
      </c>
      <c r="CC23" s="84">
        <f t="shared" si="50"/>
        <v>487125</v>
      </c>
      <c r="CD23" s="84">
        <f aca="true" t="shared" si="51" ref="CD23:CO23">SUM(CD6:CD22)</f>
        <v>487125</v>
      </c>
      <c r="CE23" s="84">
        <f t="shared" si="51"/>
        <v>0</v>
      </c>
      <c r="CF23" s="84">
        <f t="shared" si="51"/>
        <v>0</v>
      </c>
      <c r="CG23" s="84">
        <f t="shared" si="51"/>
        <v>255000</v>
      </c>
      <c r="CH23" s="84">
        <f t="shared" si="51"/>
        <v>255000</v>
      </c>
      <c r="CI23" s="84">
        <f t="shared" si="51"/>
        <v>0</v>
      </c>
      <c r="CJ23" s="84">
        <f t="shared" si="51"/>
        <v>0</v>
      </c>
      <c r="CK23" s="84">
        <f t="shared" si="51"/>
        <v>0</v>
      </c>
      <c r="CL23" s="84">
        <f t="shared" si="51"/>
        <v>0</v>
      </c>
      <c r="CM23" s="84">
        <f t="shared" si="51"/>
        <v>1558450</v>
      </c>
      <c r="CN23" s="84">
        <f t="shared" si="51"/>
        <v>1558450</v>
      </c>
      <c r="CO23" s="84">
        <f t="shared" si="51"/>
        <v>0</v>
      </c>
    </row>
    <row r="24" spans="1:93" s="59" customFormat="1" ht="15" customHeight="1">
      <c r="A24" s="58">
        <v>1</v>
      </c>
      <c r="B24" s="58"/>
      <c r="C24" s="17" t="s">
        <v>48</v>
      </c>
      <c r="D24" s="47"/>
      <c r="E24" s="102">
        <v>1.055</v>
      </c>
      <c r="F24" s="10">
        <f t="shared" si="4"/>
        <v>0</v>
      </c>
      <c r="G24" s="32"/>
      <c r="H24" s="32"/>
      <c r="I24" s="32"/>
      <c r="J24" s="32"/>
      <c r="K24" s="32"/>
      <c r="L24" s="102">
        <v>1.055</v>
      </c>
      <c r="M24" s="10">
        <f t="shared" si="9"/>
        <v>0</v>
      </c>
      <c r="N24" s="32"/>
      <c r="O24" s="32"/>
      <c r="P24" s="32"/>
      <c r="Q24" s="40">
        <v>0</v>
      </c>
      <c r="R24" s="10">
        <f>ROUND(Q24*18679*12,2)</f>
        <v>0</v>
      </c>
      <c r="S24" s="10">
        <f>ROUND(R24*30.2/100,2)</f>
        <v>0</v>
      </c>
      <c r="T24" s="44">
        <f>(R24+S24)</f>
        <v>0</v>
      </c>
      <c r="U24" s="39">
        <f>T24*81%</f>
        <v>0</v>
      </c>
      <c r="V24" s="47">
        <v>0</v>
      </c>
      <c r="W24" s="47"/>
      <c r="X24" s="67">
        <f t="shared" si="17"/>
        <v>0</v>
      </c>
      <c r="Y24" s="67"/>
      <c r="Z24" s="73"/>
      <c r="AA24" s="72"/>
      <c r="AB24" s="73"/>
      <c r="AC24" s="73">
        <v>0</v>
      </c>
      <c r="AD24" s="73">
        <v>0</v>
      </c>
      <c r="AE24" s="73">
        <v>0</v>
      </c>
      <c r="AF24" s="73"/>
      <c r="AG24" s="73"/>
      <c r="AH24" s="73"/>
      <c r="AI24" s="72"/>
      <c r="AJ24" s="72"/>
      <c r="AK24" s="135">
        <f t="shared" si="18"/>
        <v>0</v>
      </c>
      <c r="AM24" s="63"/>
      <c r="AN24" s="36">
        <v>200</v>
      </c>
      <c r="AO24" s="36"/>
      <c r="AP24" s="81">
        <f t="shared" si="44"/>
        <v>0</v>
      </c>
      <c r="AQ24" s="36">
        <f t="shared" si="45"/>
        <v>600</v>
      </c>
      <c r="AR24" s="36">
        <f t="shared" si="46"/>
        <v>0</v>
      </c>
      <c r="AS24" s="36">
        <v>550</v>
      </c>
      <c r="AT24" s="36">
        <v>21</v>
      </c>
      <c r="AU24" s="37">
        <f t="shared" si="47"/>
        <v>0</v>
      </c>
      <c r="AV24" s="81">
        <f t="shared" si="48"/>
        <v>0</v>
      </c>
      <c r="AW24" s="37"/>
      <c r="AX24" s="37"/>
      <c r="AY24" s="37" t="e">
        <f>(J24+#REF!+U24+#REF!+V24+W24)/12</f>
        <v>#REF!</v>
      </c>
      <c r="BA24" s="80">
        <f t="shared" si="19"/>
        <v>0</v>
      </c>
      <c r="BC24" s="37">
        <f t="shared" si="20"/>
        <v>0</v>
      </c>
      <c r="BD24" s="37">
        <f aca="true" t="shared" si="52" ref="BD24:BD31">SUM(BC24:BC24)</f>
        <v>0</v>
      </c>
      <c r="BE24" s="52"/>
      <c r="BF24" s="37">
        <f t="shared" si="21"/>
        <v>0</v>
      </c>
      <c r="BG24" s="37">
        <f t="shared" si="22"/>
        <v>0</v>
      </c>
      <c r="BH24" s="37">
        <f t="shared" si="23"/>
        <v>0</v>
      </c>
      <c r="BI24" s="37"/>
      <c r="BJ24" s="37">
        <f t="shared" si="24"/>
        <v>0</v>
      </c>
      <c r="BK24" s="37">
        <f t="shared" si="25"/>
        <v>0</v>
      </c>
      <c r="BL24" s="52"/>
      <c r="BM24" s="37">
        <f t="shared" si="26"/>
        <v>0</v>
      </c>
      <c r="BN24" s="37">
        <f t="shared" si="27"/>
        <v>0</v>
      </c>
      <c r="BO24" s="37">
        <f t="shared" si="28"/>
        <v>0</v>
      </c>
      <c r="BP24" s="63"/>
      <c r="BQ24" s="37">
        <f t="shared" si="29"/>
        <v>0</v>
      </c>
      <c r="BR24" s="63"/>
      <c r="BS24" s="63"/>
      <c r="BT24" s="37">
        <f t="shared" si="30"/>
        <v>0</v>
      </c>
      <c r="BU24" s="37">
        <f aca="true" t="shared" si="53" ref="BU24:BU31">BQ24+BR24+BS24</f>
        <v>0</v>
      </c>
      <c r="BV24" s="63"/>
      <c r="BW24" s="37">
        <f t="shared" si="31"/>
        <v>0</v>
      </c>
      <c r="BX24" s="37">
        <f t="shared" si="32"/>
        <v>0</v>
      </c>
      <c r="CA24" s="62">
        <f t="shared" si="33"/>
        <v>0</v>
      </c>
      <c r="CB24" s="62">
        <f t="shared" si="34"/>
        <v>0</v>
      </c>
      <c r="CC24" s="62">
        <f t="shared" si="35"/>
        <v>0</v>
      </c>
      <c r="CD24" s="62">
        <f t="shared" si="36"/>
        <v>0</v>
      </c>
      <c r="CE24" s="62"/>
      <c r="CF24" s="62"/>
      <c r="CG24" s="62">
        <f t="shared" si="37"/>
        <v>0</v>
      </c>
      <c r="CH24" s="62">
        <f t="shared" si="38"/>
        <v>0</v>
      </c>
      <c r="CI24" s="62">
        <f t="shared" si="39"/>
        <v>0</v>
      </c>
      <c r="CJ24" s="62"/>
      <c r="CK24" s="62"/>
      <c r="CL24" s="62">
        <f t="shared" si="40"/>
        <v>0</v>
      </c>
      <c r="CM24" s="62">
        <f t="shared" si="41"/>
        <v>0</v>
      </c>
      <c r="CN24" s="62">
        <f t="shared" si="42"/>
        <v>0</v>
      </c>
      <c r="CO24" s="62">
        <f t="shared" si="43"/>
        <v>0</v>
      </c>
    </row>
    <row r="25" spans="1:93" s="59" customFormat="1" ht="15" customHeight="1">
      <c r="A25" s="58">
        <v>2</v>
      </c>
      <c r="B25" s="58"/>
      <c r="C25" s="17" t="s">
        <v>50</v>
      </c>
      <c r="D25" s="47"/>
      <c r="E25" s="102">
        <v>1.055</v>
      </c>
      <c r="F25" s="10">
        <f t="shared" si="4"/>
        <v>0</v>
      </c>
      <c r="G25" s="32"/>
      <c r="H25" s="32"/>
      <c r="I25" s="32"/>
      <c r="J25" s="32"/>
      <c r="K25" s="32"/>
      <c r="L25" s="102">
        <v>1.055</v>
      </c>
      <c r="M25" s="10">
        <f t="shared" si="9"/>
        <v>0</v>
      </c>
      <c r="N25" s="32"/>
      <c r="O25" s="32"/>
      <c r="P25" s="32"/>
      <c r="Q25" s="40">
        <v>1</v>
      </c>
      <c r="R25" s="10">
        <f aca="true" t="shared" si="54" ref="R25:R31">ROUND(Q25*18679*12,2)</f>
        <v>224148</v>
      </c>
      <c r="S25" s="10">
        <f aca="true" t="shared" si="55" ref="S25:S31">ROUND(R25*30.2/100,2)</f>
        <v>67692.7</v>
      </c>
      <c r="T25" s="44">
        <f aca="true" t="shared" si="56" ref="T25:T31">(R25+S25)</f>
        <v>291840.7</v>
      </c>
      <c r="U25" s="39">
        <f aca="true" t="shared" si="57" ref="U25:U31">T25*81%</f>
        <v>236390.96700000003</v>
      </c>
      <c r="V25" s="47">
        <f>31703.89*12*1.302</f>
        <v>495341.57736</v>
      </c>
      <c r="W25" s="47">
        <v>0</v>
      </c>
      <c r="X25" s="67">
        <f t="shared" si="17"/>
        <v>731732.54436</v>
      </c>
      <c r="Y25" s="67">
        <f>1*18679*1.3</f>
        <v>24282.7</v>
      </c>
      <c r="Z25" s="73"/>
      <c r="AA25" s="72"/>
      <c r="AB25" s="73"/>
      <c r="AC25" s="73">
        <v>4000</v>
      </c>
      <c r="AD25" s="73">
        <v>12150</v>
      </c>
      <c r="AE25" s="73">
        <v>5500</v>
      </c>
      <c r="AF25" s="73"/>
      <c r="AG25" s="73"/>
      <c r="AH25" s="73"/>
      <c r="AI25" s="72"/>
      <c r="AJ25" s="72"/>
      <c r="AK25" s="135">
        <f t="shared" si="18"/>
        <v>777665.24436</v>
      </c>
      <c r="AM25" s="63">
        <v>1</v>
      </c>
      <c r="AN25" s="36">
        <v>200</v>
      </c>
      <c r="AO25" s="36">
        <f t="shared" si="49"/>
        <v>20</v>
      </c>
      <c r="AP25" s="81">
        <f t="shared" si="44"/>
        <v>4000</v>
      </c>
      <c r="AQ25" s="36">
        <f t="shared" si="45"/>
        <v>600</v>
      </c>
      <c r="AR25" s="36">
        <f t="shared" si="46"/>
        <v>600</v>
      </c>
      <c r="AS25" s="36">
        <v>550</v>
      </c>
      <c r="AT25" s="36">
        <v>21</v>
      </c>
      <c r="AU25" s="37">
        <f t="shared" si="47"/>
        <v>11550</v>
      </c>
      <c r="AV25" s="81">
        <f t="shared" si="48"/>
        <v>12150</v>
      </c>
      <c r="AW25" s="37"/>
      <c r="AX25" s="37"/>
      <c r="AY25" s="37" t="e">
        <f>(J25+#REF!+U25+#REF!+V25+W25)/12</f>
        <v>#REF!</v>
      </c>
      <c r="BA25" s="80">
        <f t="shared" si="19"/>
        <v>0</v>
      </c>
      <c r="BC25" s="37">
        <f t="shared" si="20"/>
        <v>0</v>
      </c>
      <c r="BD25" s="37">
        <f t="shared" si="52"/>
        <v>0</v>
      </c>
      <c r="BE25" s="52"/>
      <c r="BF25" s="37">
        <f t="shared" si="21"/>
        <v>10825</v>
      </c>
      <c r="BG25" s="37">
        <f t="shared" si="22"/>
        <v>10825</v>
      </c>
      <c r="BH25" s="37">
        <f t="shared" si="23"/>
        <v>21650</v>
      </c>
      <c r="BI25" s="37"/>
      <c r="BJ25" s="37">
        <f t="shared" si="24"/>
        <v>0</v>
      </c>
      <c r="BK25" s="37">
        <f t="shared" si="25"/>
        <v>0</v>
      </c>
      <c r="BL25" s="52"/>
      <c r="BM25" s="37">
        <f t="shared" si="26"/>
        <v>0</v>
      </c>
      <c r="BN25" s="37">
        <f t="shared" si="27"/>
        <v>0</v>
      </c>
      <c r="BO25" s="37">
        <f t="shared" si="28"/>
        <v>0</v>
      </c>
      <c r="BP25" s="63"/>
      <c r="BQ25" s="37">
        <f t="shared" si="29"/>
        <v>0</v>
      </c>
      <c r="BR25" s="63"/>
      <c r="BS25" s="63"/>
      <c r="BT25" s="37">
        <f t="shared" si="30"/>
        <v>0</v>
      </c>
      <c r="BU25" s="37">
        <f t="shared" si="53"/>
        <v>0</v>
      </c>
      <c r="BV25" s="63"/>
      <c r="BW25" s="37">
        <f t="shared" si="31"/>
        <v>0</v>
      </c>
      <c r="BX25" s="37">
        <f t="shared" si="32"/>
        <v>0</v>
      </c>
      <c r="CA25" s="62">
        <f t="shared" si="33"/>
        <v>0</v>
      </c>
      <c r="CB25" s="62">
        <f t="shared" si="34"/>
        <v>0</v>
      </c>
      <c r="CC25" s="62">
        <f t="shared" si="35"/>
        <v>10825</v>
      </c>
      <c r="CD25" s="62">
        <f t="shared" si="36"/>
        <v>10825</v>
      </c>
      <c r="CE25" s="62"/>
      <c r="CF25" s="62"/>
      <c r="CG25" s="62">
        <f t="shared" si="37"/>
        <v>0</v>
      </c>
      <c r="CH25" s="62">
        <f t="shared" si="38"/>
        <v>0</v>
      </c>
      <c r="CI25" s="62">
        <f t="shared" si="39"/>
        <v>0</v>
      </c>
      <c r="CJ25" s="62"/>
      <c r="CK25" s="62"/>
      <c r="CL25" s="62">
        <f t="shared" si="40"/>
        <v>0</v>
      </c>
      <c r="CM25" s="62">
        <f t="shared" si="41"/>
        <v>21650</v>
      </c>
      <c r="CN25" s="62">
        <f t="shared" si="42"/>
        <v>21650</v>
      </c>
      <c r="CO25" s="62">
        <f t="shared" si="43"/>
        <v>0</v>
      </c>
    </row>
    <row r="26" spans="1:93" s="59" customFormat="1" ht="15" customHeight="1">
      <c r="A26" s="58">
        <v>3</v>
      </c>
      <c r="B26" s="58"/>
      <c r="C26" s="17" t="s">
        <v>51</v>
      </c>
      <c r="D26" s="47"/>
      <c r="E26" s="102">
        <v>1.055</v>
      </c>
      <c r="F26" s="10">
        <f t="shared" si="4"/>
        <v>0</v>
      </c>
      <c r="G26" s="32"/>
      <c r="H26" s="32"/>
      <c r="I26" s="32"/>
      <c r="J26" s="32"/>
      <c r="K26" s="32"/>
      <c r="L26" s="102">
        <v>1.055</v>
      </c>
      <c r="M26" s="10">
        <f t="shared" si="9"/>
        <v>0</v>
      </c>
      <c r="N26" s="32"/>
      <c r="O26" s="32"/>
      <c r="P26" s="32"/>
      <c r="Q26" s="40">
        <v>2</v>
      </c>
      <c r="R26" s="10">
        <f t="shared" si="54"/>
        <v>448296</v>
      </c>
      <c r="S26" s="10">
        <f t="shared" si="55"/>
        <v>135385.39</v>
      </c>
      <c r="T26" s="44">
        <f t="shared" si="56"/>
        <v>583681.39</v>
      </c>
      <c r="U26" s="39">
        <f t="shared" si="57"/>
        <v>472781.92590000003</v>
      </c>
      <c r="V26" s="47">
        <f>88915.47*12*1.302</f>
        <v>1389215.30328</v>
      </c>
      <c r="W26" s="47">
        <v>0</v>
      </c>
      <c r="X26" s="67">
        <f t="shared" si="17"/>
        <v>1861997.2291800003</v>
      </c>
      <c r="Y26" s="67"/>
      <c r="Z26" s="73"/>
      <c r="AA26" s="72"/>
      <c r="AB26" s="73"/>
      <c r="AC26" s="73">
        <v>12000</v>
      </c>
      <c r="AD26" s="73">
        <v>36450</v>
      </c>
      <c r="AE26" s="73">
        <v>16500</v>
      </c>
      <c r="AF26" s="73"/>
      <c r="AG26" s="73"/>
      <c r="AH26" s="73"/>
      <c r="AI26" s="72"/>
      <c r="AJ26" s="72"/>
      <c r="AK26" s="135">
        <f t="shared" si="18"/>
        <v>1926947.2291800003</v>
      </c>
      <c r="AM26" s="63">
        <v>3</v>
      </c>
      <c r="AN26" s="36">
        <v>200</v>
      </c>
      <c r="AO26" s="36">
        <f t="shared" si="49"/>
        <v>20</v>
      </c>
      <c r="AP26" s="81">
        <f t="shared" si="44"/>
        <v>12000</v>
      </c>
      <c r="AQ26" s="36">
        <f t="shared" si="45"/>
        <v>600</v>
      </c>
      <c r="AR26" s="36">
        <f t="shared" si="46"/>
        <v>1800</v>
      </c>
      <c r="AS26" s="36">
        <v>550</v>
      </c>
      <c r="AT26" s="36">
        <v>21</v>
      </c>
      <c r="AU26" s="37">
        <f t="shared" si="47"/>
        <v>34650</v>
      </c>
      <c r="AV26" s="81">
        <f t="shared" si="48"/>
        <v>36450</v>
      </c>
      <c r="AW26" s="37"/>
      <c r="AX26" s="37"/>
      <c r="AY26" s="37" t="e">
        <f>(J26+#REF!+U26+#REF!+V26+W26)/12</f>
        <v>#REF!</v>
      </c>
      <c r="BA26" s="80">
        <f t="shared" si="19"/>
        <v>0</v>
      </c>
      <c r="BC26" s="37">
        <f t="shared" si="20"/>
        <v>0</v>
      </c>
      <c r="BD26" s="37">
        <f t="shared" si="52"/>
        <v>0</v>
      </c>
      <c r="BE26" s="52"/>
      <c r="BF26" s="37">
        <f t="shared" si="21"/>
        <v>32475</v>
      </c>
      <c r="BG26" s="37">
        <f t="shared" si="22"/>
        <v>32475</v>
      </c>
      <c r="BH26" s="37">
        <f t="shared" si="23"/>
        <v>64950</v>
      </c>
      <c r="BI26" s="37"/>
      <c r="BJ26" s="37">
        <f t="shared" si="24"/>
        <v>0</v>
      </c>
      <c r="BK26" s="37">
        <f t="shared" si="25"/>
        <v>0</v>
      </c>
      <c r="BL26" s="52"/>
      <c r="BM26" s="37">
        <f t="shared" si="26"/>
        <v>0</v>
      </c>
      <c r="BN26" s="37">
        <f t="shared" si="27"/>
        <v>0</v>
      </c>
      <c r="BO26" s="37">
        <f t="shared" si="28"/>
        <v>0</v>
      </c>
      <c r="BP26" s="63"/>
      <c r="BQ26" s="37">
        <f t="shared" si="29"/>
        <v>0</v>
      </c>
      <c r="BR26" s="63"/>
      <c r="BS26" s="63"/>
      <c r="BT26" s="37">
        <f t="shared" si="30"/>
        <v>0</v>
      </c>
      <c r="BU26" s="37">
        <f t="shared" si="53"/>
        <v>0</v>
      </c>
      <c r="BV26" s="63"/>
      <c r="BW26" s="37">
        <f t="shared" si="31"/>
        <v>0</v>
      </c>
      <c r="BX26" s="37">
        <f t="shared" si="32"/>
        <v>0</v>
      </c>
      <c r="CA26" s="62">
        <f t="shared" si="33"/>
        <v>0</v>
      </c>
      <c r="CB26" s="62">
        <f t="shared" si="34"/>
        <v>0</v>
      </c>
      <c r="CC26" s="62">
        <f t="shared" si="35"/>
        <v>32475</v>
      </c>
      <c r="CD26" s="62">
        <f t="shared" si="36"/>
        <v>32475</v>
      </c>
      <c r="CE26" s="62"/>
      <c r="CF26" s="62"/>
      <c r="CG26" s="62">
        <f t="shared" si="37"/>
        <v>0</v>
      </c>
      <c r="CH26" s="62">
        <f t="shared" si="38"/>
        <v>0</v>
      </c>
      <c r="CI26" s="62">
        <f t="shared" si="39"/>
        <v>0</v>
      </c>
      <c r="CJ26" s="62"/>
      <c r="CK26" s="62"/>
      <c r="CL26" s="62">
        <f t="shared" si="40"/>
        <v>0</v>
      </c>
      <c r="CM26" s="62">
        <f t="shared" si="41"/>
        <v>64950</v>
      </c>
      <c r="CN26" s="62">
        <f t="shared" si="42"/>
        <v>64950</v>
      </c>
      <c r="CO26" s="62">
        <f t="shared" si="43"/>
        <v>0</v>
      </c>
    </row>
    <row r="27" spans="1:93" s="59" customFormat="1" ht="15" customHeight="1">
      <c r="A27" s="58">
        <v>4</v>
      </c>
      <c r="B27" s="58"/>
      <c r="C27" s="17" t="s">
        <v>52</v>
      </c>
      <c r="D27" s="47"/>
      <c r="E27" s="102">
        <v>1.055</v>
      </c>
      <c r="F27" s="10">
        <f t="shared" si="4"/>
        <v>0</v>
      </c>
      <c r="G27" s="32"/>
      <c r="H27" s="32"/>
      <c r="I27" s="32"/>
      <c r="J27" s="32"/>
      <c r="K27" s="32"/>
      <c r="L27" s="102">
        <v>1.055</v>
      </c>
      <c r="M27" s="10">
        <f t="shared" si="9"/>
        <v>0</v>
      </c>
      <c r="N27" s="32"/>
      <c r="O27" s="32"/>
      <c r="P27" s="32"/>
      <c r="Q27" s="40">
        <v>1</v>
      </c>
      <c r="R27" s="10">
        <f t="shared" si="54"/>
        <v>224148</v>
      </c>
      <c r="S27" s="10">
        <f t="shared" si="55"/>
        <v>67692.7</v>
      </c>
      <c r="T27" s="44">
        <f t="shared" si="56"/>
        <v>291840.7</v>
      </c>
      <c r="U27" s="39">
        <f t="shared" si="57"/>
        <v>236390.96700000003</v>
      </c>
      <c r="V27" s="47">
        <f>28058.46*12*1.302</f>
        <v>438385.37904</v>
      </c>
      <c r="W27" s="47">
        <v>0</v>
      </c>
      <c r="X27" s="67">
        <f t="shared" si="17"/>
        <v>674776.3460400001</v>
      </c>
      <c r="Y27" s="67">
        <f>1*18679*1.3</f>
        <v>24282.7</v>
      </c>
      <c r="Z27" s="73"/>
      <c r="AA27" s="72"/>
      <c r="AB27" s="73"/>
      <c r="AC27" s="73">
        <v>0</v>
      </c>
      <c r="AD27" s="73">
        <v>0</v>
      </c>
      <c r="AE27" s="73">
        <v>0</v>
      </c>
      <c r="AF27" s="73"/>
      <c r="AG27" s="73"/>
      <c r="AH27" s="73"/>
      <c r="AI27" s="72"/>
      <c r="AJ27" s="72"/>
      <c r="AK27" s="135">
        <f t="shared" si="18"/>
        <v>699059.04604</v>
      </c>
      <c r="AM27" s="63"/>
      <c r="AN27" s="36">
        <v>200</v>
      </c>
      <c r="AO27" s="36"/>
      <c r="AP27" s="81">
        <f t="shared" si="44"/>
        <v>0</v>
      </c>
      <c r="AQ27" s="36">
        <f t="shared" si="45"/>
        <v>600</v>
      </c>
      <c r="AR27" s="36">
        <f t="shared" si="46"/>
        <v>0</v>
      </c>
      <c r="AS27" s="36">
        <v>550</v>
      </c>
      <c r="AT27" s="36">
        <v>21</v>
      </c>
      <c r="AU27" s="37">
        <f t="shared" si="47"/>
        <v>0</v>
      </c>
      <c r="AV27" s="81">
        <f t="shared" si="48"/>
        <v>0</v>
      </c>
      <c r="AW27" s="37"/>
      <c r="AX27" s="37"/>
      <c r="AY27" s="37" t="e">
        <f>(J27+#REF!+U27+#REF!+V27+W27)/12</f>
        <v>#REF!</v>
      </c>
      <c r="BA27" s="80">
        <f t="shared" si="19"/>
        <v>0</v>
      </c>
      <c r="BC27" s="37">
        <f t="shared" si="20"/>
        <v>0</v>
      </c>
      <c r="BD27" s="37">
        <f t="shared" si="52"/>
        <v>0</v>
      </c>
      <c r="BE27" s="52"/>
      <c r="BF27" s="37">
        <f t="shared" si="21"/>
        <v>0</v>
      </c>
      <c r="BG27" s="37">
        <f t="shared" si="22"/>
        <v>0</v>
      </c>
      <c r="BH27" s="37">
        <f t="shared" si="23"/>
        <v>0</v>
      </c>
      <c r="BI27" s="37"/>
      <c r="BJ27" s="37">
        <f t="shared" si="24"/>
        <v>0</v>
      </c>
      <c r="BK27" s="37">
        <f t="shared" si="25"/>
        <v>0</v>
      </c>
      <c r="BL27" s="52"/>
      <c r="BM27" s="37">
        <f t="shared" si="26"/>
        <v>0</v>
      </c>
      <c r="BN27" s="37">
        <f t="shared" si="27"/>
        <v>0</v>
      </c>
      <c r="BO27" s="37">
        <f t="shared" si="28"/>
        <v>0</v>
      </c>
      <c r="BP27" s="63"/>
      <c r="BQ27" s="37">
        <f t="shared" si="29"/>
        <v>0</v>
      </c>
      <c r="BR27" s="63"/>
      <c r="BS27" s="63"/>
      <c r="BT27" s="37">
        <f t="shared" si="30"/>
        <v>0</v>
      </c>
      <c r="BU27" s="37">
        <f t="shared" si="53"/>
        <v>0</v>
      </c>
      <c r="BV27" s="63"/>
      <c r="BW27" s="37">
        <f t="shared" si="31"/>
        <v>0</v>
      </c>
      <c r="BX27" s="37">
        <f t="shared" si="32"/>
        <v>0</v>
      </c>
      <c r="CA27" s="62">
        <f t="shared" si="33"/>
        <v>0</v>
      </c>
      <c r="CB27" s="62">
        <f t="shared" si="34"/>
        <v>0</v>
      </c>
      <c r="CC27" s="62">
        <f t="shared" si="35"/>
        <v>0</v>
      </c>
      <c r="CD27" s="62">
        <f t="shared" si="36"/>
        <v>0</v>
      </c>
      <c r="CE27" s="62"/>
      <c r="CF27" s="62"/>
      <c r="CG27" s="62">
        <f t="shared" si="37"/>
        <v>0</v>
      </c>
      <c r="CH27" s="62">
        <f t="shared" si="38"/>
        <v>0</v>
      </c>
      <c r="CI27" s="62">
        <f t="shared" si="39"/>
        <v>0</v>
      </c>
      <c r="CJ27" s="62"/>
      <c r="CK27" s="62"/>
      <c r="CL27" s="62">
        <f t="shared" si="40"/>
        <v>0</v>
      </c>
      <c r="CM27" s="62">
        <f t="shared" si="41"/>
        <v>0</v>
      </c>
      <c r="CN27" s="62">
        <f t="shared" si="42"/>
        <v>0</v>
      </c>
      <c r="CO27" s="62">
        <f t="shared" si="43"/>
        <v>0</v>
      </c>
    </row>
    <row r="28" spans="1:93" s="59" customFormat="1" ht="15" customHeight="1">
      <c r="A28" s="58">
        <v>5</v>
      </c>
      <c r="B28" s="58"/>
      <c r="C28" s="17" t="s">
        <v>53</v>
      </c>
      <c r="D28" s="47"/>
      <c r="E28" s="102">
        <v>1.055</v>
      </c>
      <c r="F28" s="10">
        <f t="shared" si="4"/>
        <v>0</v>
      </c>
      <c r="G28" s="32"/>
      <c r="H28" s="32"/>
      <c r="I28" s="32"/>
      <c r="J28" s="32"/>
      <c r="K28" s="32"/>
      <c r="L28" s="102">
        <v>1.055</v>
      </c>
      <c r="M28" s="10">
        <f t="shared" si="9"/>
        <v>0</v>
      </c>
      <c r="N28" s="32"/>
      <c r="O28" s="32"/>
      <c r="P28" s="32"/>
      <c r="Q28" s="40">
        <v>1</v>
      </c>
      <c r="R28" s="10">
        <f t="shared" si="54"/>
        <v>224148</v>
      </c>
      <c r="S28" s="10">
        <f t="shared" si="55"/>
        <v>67692.7</v>
      </c>
      <c r="T28" s="44">
        <f t="shared" si="56"/>
        <v>291840.7</v>
      </c>
      <c r="U28" s="39">
        <f t="shared" si="57"/>
        <v>236390.96700000003</v>
      </c>
      <c r="V28" s="47">
        <f>26540.39*12*1.302</f>
        <v>414667.05336</v>
      </c>
      <c r="W28" s="47">
        <v>0</v>
      </c>
      <c r="X28" s="67">
        <f t="shared" si="17"/>
        <v>651058.0203600001</v>
      </c>
      <c r="Y28" s="67">
        <f>1*18679*1.3</f>
        <v>24282.7</v>
      </c>
      <c r="Z28" s="73"/>
      <c r="AA28" s="72"/>
      <c r="AB28" s="73"/>
      <c r="AC28" s="73">
        <v>8000</v>
      </c>
      <c r="AD28" s="73">
        <v>24300</v>
      </c>
      <c r="AE28" s="73">
        <v>11000</v>
      </c>
      <c r="AF28" s="73"/>
      <c r="AG28" s="73"/>
      <c r="AH28" s="73"/>
      <c r="AI28" s="72"/>
      <c r="AJ28" s="72"/>
      <c r="AK28" s="135">
        <f t="shared" si="18"/>
        <v>718640.72036</v>
      </c>
      <c r="AM28" s="63">
        <v>2</v>
      </c>
      <c r="AN28" s="36">
        <v>200</v>
      </c>
      <c r="AO28" s="36">
        <f t="shared" si="49"/>
        <v>20</v>
      </c>
      <c r="AP28" s="81">
        <f t="shared" si="44"/>
        <v>8000</v>
      </c>
      <c r="AQ28" s="36">
        <f t="shared" si="45"/>
        <v>600</v>
      </c>
      <c r="AR28" s="36">
        <f t="shared" si="46"/>
        <v>1200</v>
      </c>
      <c r="AS28" s="36">
        <v>550</v>
      </c>
      <c r="AT28" s="36">
        <v>21</v>
      </c>
      <c r="AU28" s="37">
        <f t="shared" si="47"/>
        <v>23100</v>
      </c>
      <c r="AV28" s="81">
        <f t="shared" si="48"/>
        <v>24300</v>
      </c>
      <c r="AW28" s="37"/>
      <c r="AX28" s="37"/>
      <c r="AY28" s="37" t="e">
        <f>(J28+#REF!+U28+#REF!+V28+W28)/12</f>
        <v>#REF!</v>
      </c>
      <c r="BA28" s="80">
        <f t="shared" si="19"/>
        <v>0</v>
      </c>
      <c r="BC28" s="37">
        <f t="shared" si="20"/>
        <v>0</v>
      </c>
      <c r="BD28" s="37">
        <f t="shared" si="52"/>
        <v>0</v>
      </c>
      <c r="BE28" s="52"/>
      <c r="BF28" s="37">
        <f t="shared" si="21"/>
        <v>21650</v>
      </c>
      <c r="BG28" s="37">
        <f t="shared" si="22"/>
        <v>21650</v>
      </c>
      <c r="BH28" s="37">
        <f t="shared" si="23"/>
        <v>43300</v>
      </c>
      <c r="BI28" s="37"/>
      <c r="BJ28" s="37">
        <f t="shared" si="24"/>
        <v>0</v>
      </c>
      <c r="BK28" s="37">
        <f t="shared" si="25"/>
        <v>0</v>
      </c>
      <c r="BL28" s="52"/>
      <c r="BM28" s="37">
        <f t="shared" si="26"/>
        <v>0</v>
      </c>
      <c r="BN28" s="37">
        <f t="shared" si="27"/>
        <v>0</v>
      </c>
      <c r="BO28" s="37">
        <f t="shared" si="28"/>
        <v>0</v>
      </c>
      <c r="BP28" s="63"/>
      <c r="BQ28" s="37">
        <f t="shared" si="29"/>
        <v>0</v>
      </c>
      <c r="BR28" s="63"/>
      <c r="BS28" s="63"/>
      <c r="BT28" s="37">
        <f t="shared" si="30"/>
        <v>0</v>
      </c>
      <c r="BU28" s="37">
        <f t="shared" si="53"/>
        <v>0</v>
      </c>
      <c r="BV28" s="63"/>
      <c r="BW28" s="37">
        <f t="shared" si="31"/>
        <v>0</v>
      </c>
      <c r="BX28" s="37">
        <f t="shared" si="32"/>
        <v>0</v>
      </c>
      <c r="CA28" s="62">
        <f t="shared" si="33"/>
        <v>0</v>
      </c>
      <c r="CB28" s="62">
        <f t="shared" si="34"/>
        <v>0</v>
      </c>
      <c r="CC28" s="62">
        <f t="shared" si="35"/>
        <v>21650</v>
      </c>
      <c r="CD28" s="62">
        <f t="shared" si="36"/>
        <v>21650</v>
      </c>
      <c r="CE28" s="62"/>
      <c r="CF28" s="62"/>
      <c r="CG28" s="62">
        <f t="shared" si="37"/>
        <v>0</v>
      </c>
      <c r="CH28" s="62">
        <f t="shared" si="38"/>
        <v>0</v>
      </c>
      <c r="CI28" s="62">
        <f t="shared" si="39"/>
        <v>0</v>
      </c>
      <c r="CJ28" s="62"/>
      <c r="CK28" s="62"/>
      <c r="CL28" s="62">
        <f t="shared" si="40"/>
        <v>0</v>
      </c>
      <c r="CM28" s="62">
        <f t="shared" si="41"/>
        <v>43300</v>
      </c>
      <c r="CN28" s="62">
        <f t="shared" si="42"/>
        <v>43300</v>
      </c>
      <c r="CO28" s="62">
        <f t="shared" si="43"/>
        <v>0</v>
      </c>
    </row>
    <row r="29" spans="1:93" s="59" customFormat="1" ht="15" customHeight="1">
      <c r="A29" s="58">
        <v>6</v>
      </c>
      <c r="B29" s="58"/>
      <c r="C29" s="17" t="s">
        <v>54</v>
      </c>
      <c r="D29" s="47"/>
      <c r="E29" s="102">
        <v>1.055</v>
      </c>
      <c r="F29" s="10">
        <f t="shared" si="4"/>
        <v>0</v>
      </c>
      <c r="G29" s="32"/>
      <c r="H29" s="32"/>
      <c r="I29" s="32"/>
      <c r="J29" s="32"/>
      <c r="K29" s="32"/>
      <c r="L29" s="102">
        <v>1.055</v>
      </c>
      <c r="M29" s="10">
        <f t="shared" si="9"/>
        <v>0</v>
      </c>
      <c r="N29" s="32"/>
      <c r="O29" s="32"/>
      <c r="P29" s="32"/>
      <c r="Q29" s="40">
        <v>1</v>
      </c>
      <c r="R29" s="10">
        <f t="shared" si="54"/>
        <v>224148</v>
      </c>
      <c r="S29" s="10">
        <f t="shared" si="55"/>
        <v>67692.7</v>
      </c>
      <c r="T29" s="44">
        <f t="shared" si="56"/>
        <v>291840.7</v>
      </c>
      <c r="U29" s="39">
        <f t="shared" si="57"/>
        <v>236390.96700000003</v>
      </c>
      <c r="V29" s="47">
        <f>25507.69*12*1.302</f>
        <v>398532.14856</v>
      </c>
      <c r="W29" s="47">
        <v>0</v>
      </c>
      <c r="X29" s="67">
        <f t="shared" si="17"/>
        <v>634923.1155600001</v>
      </c>
      <c r="Y29" s="67">
        <f>1*18679*1.3</f>
        <v>24282.7</v>
      </c>
      <c r="Z29" s="73"/>
      <c r="AA29" s="72"/>
      <c r="AB29" s="73"/>
      <c r="AC29" s="73">
        <v>8000</v>
      </c>
      <c r="AD29" s="73">
        <v>24300</v>
      </c>
      <c r="AE29" s="73">
        <v>11000</v>
      </c>
      <c r="AF29" s="73"/>
      <c r="AG29" s="73"/>
      <c r="AH29" s="73"/>
      <c r="AI29" s="72"/>
      <c r="AJ29" s="72"/>
      <c r="AK29" s="135">
        <f t="shared" si="18"/>
        <v>702505.81556</v>
      </c>
      <c r="AM29" s="63">
        <v>2</v>
      </c>
      <c r="AN29" s="36">
        <v>200</v>
      </c>
      <c r="AO29" s="36">
        <f t="shared" si="49"/>
        <v>20</v>
      </c>
      <c r="AP29" s="81">
        <f t="shared" si="44"/>
        <v>8000</v>
      </c>
      <c r="AQ29" s="36">
        <f t="shared" si="45"/>
        <v>600</v>
      </c>
      <c r="AR29" s="36">
        <f t="shared" si="46"/>
        <v>1200</v>
      </c>
      <c r="AS29" s="36">
        <v>550</v>
      </c>
      <c r="AT29" s="36">
        <v>21</v>
      </c>
      <c r="AU29" s="37">
        <f t="shared" si="47"/>
        <v>23100</v>
      </c>
      <c r="AV29" s="81">
        <f t="shared" si="48"/>
        <v>24300</v>
      </c>
      <c r="AW29" s="37"/>
      <c r="AX29" s="37"/>
      <c r="AY29" s="37" t="e">
        <f>(J29+#REF!+U29+#REF!+V29+W29)/12</f>
        <v>#REF!</v>
      </c>
      <c r="BA29" s="80">
        <f t="shared" si="19"/>
        <v>0</v>
      </c>
      <c r="BC29" s="37">
        <f t="shared" si="20"/>
        <v>0</v>
      </c>
      <c r="BD29" s="37">
        <f t="shared" si="52"/>
        <v>0</v>
      </c>
      <c r="BE29" s="52"/>
      <c r="BF29" s="37">
        <f t="shared" si="21"/>
        <v>21650</v>
      </c>
      <c r="BG29" s="37">
        <f t="shared" si="22"/>
        <v>21650</v>
      </c>
      <c r="BH29" s="37">
        <f t="shared" si="23"/>
        <v>43300</v>
      </c>
      <c r="BI29" s="37"/>
      <c r="BJ29" s="37">
        <f t="shared" si="24"/>
        <v>0</v>
      </c>
      <c r="BK29" s="37">
        <f t="shared" si="25"/>
        <v>0</v>
      </c>
      <c r="BL29" s="52"/>
      <c r="BM29" s="37">
        <f t="shared" si="26"/>
        <v>0</v>
      </c>
      <c r="BN29" s="37">
        <f t="shared" si="27"/>
        <v>0</v>
      </c>
      <c r="BO29" s="37">
        <f t="shared" si="28"/>
        <v>0</v>
      </c>
      <c r="BP29" s="63"/>
      <c r="BQ29" s="37">
        <f t="shared" si="29"/>
        <v>0</v>
      </c>
      <c r="BR29" s="63"/>
      <c r="BS29" s="63"/>
      <c r="BT29" s="37">
        <f t="shared" si="30"/>
        <v>0</v>
      </c>
      <c r="BU29" s="37">
        <f t="shared" si="53"/>
        <v>0</v>
      </c>
      <c r="BV29" s="63"/>
      <c r="BW29" s="37">
        <f t="shared" si="31"/>
        <v>0</v>
      </c>
      <c r="BX29" s="37">
        <f t="shared" si="32"/>
        <v>0</v>
      </c>
      <c r="CA29" s="62">
        <f t="shared" si="33"/>
        <v>0</v>
      </c>
      <c r="CB29" s="62">
        <f t="shared" si="34"/>
        <v>0</v>
      </c>
      <c r="CC29" s="62">
        <f t="shared" si="35"/>
        <v>21650</v>
      </c>
      <c r="CD29" s="62">
        <f t="shared" si="36"/>
        <v>21650</v>
      </c>
      <c r="CE29" s="62"/>
      <c r="CF29" s="62"/>
      <c r="CG29" s="62">
        <f t="shared" si="37"/>
        <v>0</v>
      </c>
      <c r="CH29" s="62">
        <f t="shared" si="38"/>
        <v>0</v>
      </c>
      <c r="CI29" s="62">
        <f t="shared" si="39"/>
        <v>0</v>
      </c>
      <c r="CJ29" s="62"/>
      <c r="CK29" s="62"/>
      <c r="CL29" s="62">
        <f t="shared" si="40"/>
        <v>0</v>
      </c>
      <c r="CM29" s="62">
        <f t="shared" si="41"/>
        <v>43300</v>
      </c>
      <c r="CN29" s="62">
        <f t="shared" si="42"/>
        <v>43300</v>
      </c>
      <c r="CO29" s="62">
        <f t="shared" si="43"/>
        <v>0</v>
      </c>
    </row>
    <row r="30" spans="1:93" s="59" customFormat="1" ht="15" customHeight="1">
      <c r="A30" s="58">
        <v>7</v>
      </c>
      <c r="B30" s="58"/>
      <c r="C30" s="31" t="s">
        <v>55</v>
      </c>
      <c r="D30" s="47"/>
      <c r="E30" s="102">
        <v>1.055</v>
      </c>
      <c r="F30" s="10">
        <f t="shared" si="4"/>
        <v>0</v>
      </c>
      <c r="G30" s="32"/>
      <c r="H30" s="32"/>
      <c r="I30" s="32"/>
      <c r="J30" s="32"/>
      <c r="K30" s="32"/>
      <c r="L30" s="102">
        <v>1.055</v>
      </c>
      <c r="M30" s="10">
        <f t="shared" si="9"/>
        <v>0</v>
      </c>
      <c r="N30" s="32"/>
      <c r="O30" s="32"/>
      <c r="P30" s="32"/>
      <c r="Q30" s="40">
        <v>1</v>
      </c>
      <c r="R30" s="10">
        <f t="shared" si="54"/>
        <v>224148</v>
      </c>
      <c r="S30" s="10">
        <f t="shared" si="55"/>
        <v>67692.7</v>
      </c>
      <c r="T30" s="44">
        <f t="shared" si="56"/>
        <v>291840.7</v>
      </c>
      <c r="U30" s="39">
        <f t="shared" si="57"/>
        <v>236390.96700000003</v>
      </c>
      <c r="V30" s="47">
        <f>46264.96*12*1.302</f>
        <v>722843.73504</v>
      </c>
      <c r="W30" s="47">
        <v>0</v>
      </c>
      <c r="X30" s="67">
        <f t="shared" si="17"/>
        <v>959234.7020400001</v>
      </c>
      <c r="Y30" s="67"/>
      <c r="Z30" s="73"/>
      <c r="AA30" s="72"/>
      <c r="AB30" s="73"/>
      <c r="AC30" s="73">
        <v>4000</v>
      </c>
      <c r="AD30" s="73">
        <v>12150</v>
      </c>
      <c r="AE30" s="73">
        <v>5500</v>
      </c>
      <c r="AF30" s="73"/>
      <c r="AG30" s="73"/>
      <c r="AH30" s="73"/>
      <c r="AI30" s="72"/>
      <c r="AJ30" s="72"/>
      <c r="AK30" s="135">
        <f t="shared" si="18"/>
        <v>980884.7020400001</v>
      </c>
      <c r="AM30" s="63">
        <v>1</v>
      </c>
      <c r="AN30" s="36">
        <v>200</v>
      </c>
      <c r="AO30" s="36">
        <f t="shared" si="49"/>
        <v>20</v>
      </c>
      <c r="AP30" s="81">
        <f t="shared" si="44"/>
        <v>4000</v>
      </c>
      <c r="AQ30" s="36">
        <f t="shared" si="45"/>
        <v>600</v>
      </c>
      <c r="AR30" s="36">
        <f t="shared" si="46"/>
        <v>600</v>
      </c>
      <c r="AS30" s="36">
        <v>550</v>
      </c>
      <c r="AT30" s="36">
        <v>21</v>
      </c>
      <c r="AU30" s="37">
        <f t="shared" si="47"/>
        <v>11550</v>
      </c>
      <c r="AV30" s="81">
        <f t="shared" si="48"/>
        <v>12150</v>
      </c>
      <c r="AW30" s="37"/>
      <c r="AX30" s="37"/>
      <c r="AY30" s="37" t="e">
        <f>(J30+#REF!+U30+#REF!+V30+W30)/12</f>
        <v>#REF!</v>
      </c>
      <c r="BA30" s="80">
        <f t="shared" si="19"/>
        <v>0</v>
      </c>
      <c r="BC30" s="37">
        <f t="shared" si="20"/>
        <v>0</v>
      </c>
      <c r="BD30" s="37">
        <f t="shared" si="52"/>
        <v>0</v>
      </c>
      <c r="BE30" s="52"/>
      <c r="BF30" s="37">
        <f t="shared" si="21"/>
        <v>10825</v>
      </c>
      <c r="BG30" s="37">
        <f t="shared" si="22"/>
        <v>10825</v>
      </c>
      <c r="BH30" s="37">
        <f t="shared" si="23"/>
        <v>21650</v>
      </c>
      <c r="BI30" s="37"/>
      <c r="BJ30" s="37">
        <f t="shared" si="24"/>
        <v>0</v>
      </c>
      <c r="BK30" s="37">
        <f t="shared" si="25"/>
        <v>0</v>
      </c>
      <c r="BL30" s="52"/>
      <c r="BM30" s="37">
        <f t="shared" si="26"/>
        <v>0</v>
      </c>
      <c r="BN30" s="37">
        <f t="shared" si="27"/>
        <v>0</v>
      </c>
      <c r="BO30" s="37">
        <f t="shared" si="28"/>
        <v>0</v>
      </c>
      <c r="BP30" s="63"/>
      <c r="BQ30" s="37">
        <f t="shared" si="29"/>
        <v>0</v>
      </c>
      <c r="BR30" s="63"/>
      <c r="BS30" s="63"/>
      <c r="BT30" s="37">
        <f t="shared" si="30"/>
        <v>0</v>
      </c>
      <c r="BU30" s="37">
        <f t="shared" si="53"/>
        <v>0</v>
      </c>
      <c r="BV30" s="63"/>
      <c r="BW30" s="37">
        <f t="shared" si="31"/>
        <v>0</v>
      </c>
      <c r="BX30" s="37">
        <f t="shared" si="32"/>
        <v>0</v>
      </c>
      <c r="CA30" s="62">
        <f t="shared" si="33"/>
        <v>0</v>
      </c>
      <c r="CB30" s="62">
        <f t="shared" si="34"/>
        <v>0</v>
      </c>
      <c r="CC30" s="62">
        <f t="shared" si="35"/>
        <v>10825</v>
      </c>
      <c r="CD30" s="62">
        <f t="shared" si="36"/>
        <v>10825</v>
      </c>
      <c r="CE30" s="62"/>
      <c r="CF30" s="62"/>
      <c r="CG30" s="62">
        <f t="shared" si="37"/>
        <v>0</v>
      </c>
      <c r="CH30" s="62">
        <f t="shared" si="38"/>
        <v>0</v>
      </c>
      <c r="CI30" s="62">
        <f t="shared" si="39"/>
        <v>0</v>
      </c>
      <c r="CJ30" s="62"/>
      <c r="CK30" s="62"/>
      <c r="CL30" s="62">
        <f t="shared" si="40"/>
        <v>0</v>
      </c>
      <c r="CM30" s="62">
        <f t="shared" si="41"/>
        <v>21650</v>
      </c>
      <c r="CN30" s="62">
        <f t="shared" si="42"/>
        <v>21650</v>
      </c>
      <c r="CO30" s="62">
        <f t="shared" si="43"/>
        <v>0</v>
      </c>
    </row>
    <row r="31" spans="1:93" s="56" customFormat="1" ht="15" customHeight="1">
      <c r="A31" s="60">
        <v>8</v>
      </c>
      <c r="B31" s="60"/>
      <c r="C31" s="18" t="s">
        <v>49</v>
      </c>
      <c r="D31" s="48"/>
      <c r="E31" s="103">
        <v>1.055</v>
      </c>
      <c r="F31" s="19">
        <f t="shared" si="4"/>
        <v>0</v>
      </c>
      <c r="G31" s="33"/>
      <c r="H31" s="33"/>
      <c r="I31" s="33"/>
      <c r="J31" s="33"/>
      <c r="K31" s="33"/>
      <c r="L31" s="103">
        <v>1.055</v>
      </c>
      <c r="M31" s="19">
        <f t="shared" si="9"/>
        <v>0</v>
      </c>
      <c r="N31" s="33"/>
      <c r="O31" s="33"/>
      <c r="P31" s="33"/>
      <c r="Q31" s="41">
        <v>1</v>
      </c>
      <c r="R31" s="19">
        <f t="shared" si="54"/>
        <v>224148</v>
      </c>
      <c r="S31" s="19">
        <f t="shared" si="55"/>
        <v>67692.7</v>
      </c>
      <c r="T31" s="46">
        <f t="shared" si="56"/>
        <v>291840.7</v>
      </c>
      <c r="U31" s="43">
        <f t="shared" si="57"/>
        <v>236390.96700000003</v>
      </c>
      <c r="V31" s="48">
        <f>26451.84*12*1.302</f>
        <v>413283.54816000006</v>
      </c>
      <c r="W31" s="48">
        <v>0</v>
      </c>
      <c r="X31" s="68">
        <f t="shared" si="17"/>
        <v>649674.5151600001</v>
      </c>
      <c r="Y31" s="68"/>
      <c r="Z31" s="68"/>
      <c r="AA31" s="70"/>
      <c r="AB31" s="68"/>
      <c r="AC31" s="68">
        <v>8000</v>
      </c>
      <c r="AD31" s="68">
        <v>24300</v>
      </c>
      <c r="AE31" s="68">
        <v>11000</v>
      </c>
      <c r="AF31" s="68"/>
      <c r="AG31" s="68"/>
      <c r="AH31" s="68"/>
      <c r="AI31" s="70"/>
      <c r="AJ31" s="70"/>
      <c r="AK31" s="135">
        <f t="shared" si="18"/>
        <v>692974.5151600001</v>
      </c>
      <c r="AM31" s="63">
        <v>2</v>
      </c>
      <c r="AN31" s="36">
        <v>200</v>
      </c>
      <c r="AO31" s="36">
        <f t="shared" si="49"/>
        <v>20</v>
      </c>
      <c r="AP31" s="81">
        <f t="shared" si="44"/>
        <v>8000</v>
      </c>
      <c r="AQ31" s="36">
        <f t="shared" si="45"/>
        <v>600</v>
      </c>
      <c r="AR31" s="36">
        <f t="shared" si="46"/>
        <v>1200</v>
      </c>
      <c r="AS31" s="36">
        <v>550</v>
      </c>
      <c r="AT31" s="36">
        <v>21</v>
      </c>
      <c r="AU31" s="37">
        <f t="shared" si="47"/>
        <v>23100</v>
      </c>
      <c r="AV31" s="81">
        <f t="shared" si="48"/>
        <v>24300</v>
      </c>
      <c r="AW31" s="37"/>
      <c r="AX31" s="37"/>
      <c r="AY31" s="37" t="e">
        <f>(J31+#REF!+U31+#REF!+V31+W31)/12</f>
        <v>#REF!</v>
      </c>
      <c r="BA31" s="80">
        <f t="shared" si="19"/>
        <v>0</v>
      </c>
      <c r="BC31" s="37">
        <f t="shared" si="20"/>
        <v>0</v>
      </c>
      <c r="BD31" s="37">
        <f t="shared" si="52"/>
        <v>0</v>
      </c>
      <c r="BE31" s="81"/>
      <c r="BF31" s="37">
        <f t="shared" si="21"/>
        <v>21650</v>
      </c>
      <c r="BG31" s="37">
        <f t="shared" si="22"/>
        <v>21650</v>
      </c>
      <c r="BH31" s="37">
        <f t="shared" si="23"/>
        <v>43300</v>
      </c>
      <c r="BI31" s="37"/>
      <c r="BJ31" s="37">
        <f t="shared" si="24"/>
        <v>0</v>
      </c>
      <c r="BK31" s="37">
        <f t="shared" si="25"/>
        <v>0</v>
      </c>
      <c r="BL31" s="81"/>
      <c r="BM31" s="37">
        <f t="shared" si="26"/>
        <v>0</v>
      </c>
      <c r="BN31" s="37">
        <f t="shared" si="27"/>
        <v>0</v>
      </c>
      <c r="BO31" s="37">
        <f t="shared" si="28"/>
        <v>0</v>
      </c>
      <c r="BP31" s="55"/>
      <c r="BQ31" s="37">
        <f t="shared" si="29"/>
        <v>0</v>
      </c>
      <c r="BR31" s="55"/>
      <c r="BS31" s="55"/>
      <c r="BT31" s="37">
        <f t="shared" si="30"/>
        <v>0</v>
      </c>
      <c r="BU31" s="37">
        <f t="shared" si="53"/>
        <v>0</v>
      </c>
      <c r="BV31" s="55"/>
      <c r="BW31" s="37">
        <f t="shared" si="31"/>
        <v>0</v>
      </c>
      <c r="BX31" s="37">
        <f t="shared" si="32"/>
        <v>0</v>
      </c>
      <c r="CA31" s="62">
        <f t="shared" si="33"/>
        <v>0</v>
      </c>
      <c r="CB31" s="62">
        <f t="shared" si="34"/>
        <v>0</v>
      </c>
      <c r="CC31" s="62">
        <f t="shared" si="35"/>
        <v>21650</v>
      </c>
      <c r="CD31" s="62">
        <f t="shared" si="36"/>
        <v>21650</v>
      </c>
      <c r="CE31" s="62"/>
      <c r="CF31" s="62"/>
      <c r="CG31" s="62">
        <f t="shared" si="37"/>
        <v>0</v>
      </c>
      <c r="CH31" s="62">
        <f t="shared" si="38"/>
        <v>0</v>
      </c>
      <c r="CI31" s="62">
        <f t="shared" si="39"/>
        <v>0</v>
      </c>
      <c r="CJ31" s="62"/>
      <c r="CK31" s="62"/>
      <c r="CL31" s="62">
        <f t="shared" si="40"/>
        <v>0</v>
      </c>
      <c r="CM31" s="62">
        <f t="shared" si="41"/>
        <v>43300</v>
      </c>
      <c r="CN31" s="62">
        <f t="shared" si="42"/>
        <v>43300</v>
      </c>
      <c r="CO31" s="62">
        <f t="shared" si="43"/>
        <v>0</v>
      </c>
    </row>
    <row r="32" spans="1:93" s="57" customFormat="1" ht="15" customHeight="1">
      <c r="A32" s="168" t="s">
        <v>61</v>
      </c>
      <c r="B32" s="169"/>
      <c r="C32" s="170"/>
      <c r="D32" s="71">
        <f aca="true" t="shared" si="58" ref="D32:J32">SUM(D24:D31)</f>
        <v>0</v>
      </c>
      <c r="E32" s="71">
        <f t="shared" si="58"/>
        <v>8.44</v>
      </c>
      <c r="F32" s="71">
        <f t="shared" si="58"/>
        <v>0</v>
      </c>
      <c r="G32" s="22">
        <f t="shared" si="58"/>
        <v>0</v>
      </c>
      <c r="H32" s="22">
        <f t="shared" si="58"/>
        <v>0</v>
      </c>
      <c r="I32" s="22">
        <f t="shared" si="58"/>
        <v>0</v>
      </c>
      <c r="J32" s="22">
        <f t="shared" si="58"/>
        <v>0</v>
      </c>
      <c r="K32" s="22">
        <f aca="true" t="shared" si="59" ref="K32:P32">SUM(K24:K31)</f>
        <v>0</v>
      </c>
      <c r="L32" s="22">
        <f>SUM(L24:L31)</f>
        <v>8.44</v>
      </c>
      <c r="M32" s="22">
        <f>SUM(M24:M31)</f>
        <v>0</v>
      </c>
      <c r="N32" s="22">
        <f t="shared" si="59"/>
        <v>0</v>
      </c>
      <c r="O32" s="22">
        <f t="shared" si="59"/>
        <v>0</v>
      </c>
      <c r="P32" s="22">
        <f t="shared" si="59"/>
        <v>0</v>
      </c>
      <c r="Q32" s="64">
        <f aca="true" t="shared" si="60" ref="Q32:V32">SUM(Q24:Q31)</f>
        <v>8</v>
      </c>
      <c r="R32" s="64">
        <f t="shared" si="60"/>
        <v>1793184</v>
      </c>
      <c r="S32" s="64">
        <f t="shared" si="60"/>
        <v>541541.5900000001</v>
      </c>
      <c r="T32" s="64">
        <f t="shared" si="60"/>
        <v>2334725.59</v>
      </c>
      <c r="U32" s="64">
        <f t="shared" si="60"/>
        <v>1891127.7279</v>
      </c>
      <c r="V32" s="64">
        <f t="shared" si="60"/>
        <v>4272268.7448</v>
      </c>
      <c r="W32" s="64">
        <f>SUM(W24:W31)</f>
        <v>0</v>
      </c>
      <c r="X32" s="71">
        <f>SUM(X24:X31)</f>
        <v>6163396.472700001</v>
      </c>
      <c r="Y32" s="71">
        <f>SUM(Y24:Y31)</f>
        <v>97130.8</v>
      </c>
      <c r="Z32" s="71">
        <f aca="true" t="shared" si="61" ref="Z32:AJ32">SUM(Z24:Z31)</f>
        <v>0</v>
      </c>
      <c r="AA32" s="71">
        <f>SUM(AA24:AA31)</f>
        <v>0</v>
      </c>
      <c r="AB32" s="71">
        <f t="shared" si="61"/>
        <v>0</v>
      </c>
      <c r="AC32" s="71">
        <f>SUM(AC24:AC31)</f>
        <v>44000</v>
      </c>
      <c r="AD32" s="71">
        <f>SUM(AD24:AD31)</f>
        <v>133650</v>
      </c>
      <c r="AE32" s="71">
        <f t="shared" si="61"/>
        <v>60500</v>
      </c>
      <c r="AF32" s="71">
        <f t="shared" si="61"/>
        <v>0</v>
      </c>
      <c r="AG32" s="71">
        <f t="shared" si="61"/>
        <v>0</v>
      </c>
      <c r="AH32" s="71">
        <f t="shared" si="61"/>
        <v>0</v>
      </c>
      <c r="AI32" s="71">
        <f t="shared" si="61"/>
        <v>0</v>
      </c>
      <c r="AJ32" s="71">
        <f t="shared" si="61"/>
        <v>0</v>
      </c>
      <c r="AK32" s="71">
        <f>SUM(AK24:AK31)</f>
        <v>6498677.272700001</v>
      </c>
      <c r="AL32" s="115">
        <f>SUM(AL24:AL31)</f>
        <v>0</v>
      </c>
      <c r="AM32" s="115">
        <f aca="true" t="shared" si="62" ref="AM32:AV32">SUM(AM24:AM31)</f>
        <v>11</v>
      </c>
      <c r="AN32" s="115">
        <f t="shared" si="62"/>
        <v>1600</v>
      </c>
      <c r="AO32" s="115">
        <f t="shared" si="62"/>
        <v>120</v>
      </c>
      <c r="AP32" s="115">
        <f t="shared" si="62"/>
        <v>44000</v>
      </c>
      <c r="AQ32" s="115">
        <f t="shared" si="62"/>
        <v>4800</v>
      </c>
      <c r="AR32" s="115">
        <f t="shared" si="62"/>
        <v>6600</v>
      </c>
      <c r="AS32" s="115">
        <f t="shared" si="62"/>
        <v>4400</v>
      </c>
      <c r="AT32" s="115">
        <f t="shared" si="62"/>
        <v>168</v>
      </c>
      <c r="AU32" s="115">
        <f t="shared" si="62"/>
        <v>127050</v>
      </c>
      <c r="AV32" s="115">
        <f t="shared" si="62"/>
        <v>133650</v>
      </c>
      <c r="AW32" s="37"/>
      <c r="AX32" s="37"/>
      <c r="AY32" s="22" t="e">
        <f>SUM(AY24:AY31)</f>
        <v>#REF!</v>
      </c>
      <c r="AZ32" s="22">
        <f>SUM(AZ24:AZ31)</f>
        <v>0</v>
      </c>
      <c r="BA32" s="22">
        <f>SUM(BA24:BA31)</f>
        <v>0</v>
      </c>
      <c r="BB32" s="83">
        <f>SUM(BB24:BB31)</f>
        <v>0</v>
      </c>
      <c r="BC32" s="22">
        <f aca="true" t="shared" si="63" ref="BC32:BH32">SUM(BC24:BC31)</f>
        <v>0</v>
      </c>
      <c r="BD32" s="22">
        <f t="shared" si="63"/>
        <v>0</v>
      </c>
      <c r="BE32" s="22">
        <f t="shared" si="63"/>
        <v>0</v>
      </c>
      <c r="BF32" s="22">
        <f t="shared" si="63"/>
        <v>119075</v>
      </c>
      <c r="BG32" s="22">
        <f t="shared" si="63"/>
        <v>119075</v>
      </c>
      <c r="BH32" s="22">
        <f t="shared" si="63"/>
        <v>238150</v>
      </c>
      <c r="BI32" s="22">
        <f aca="true" t="shared" si="64" ref="BI32:BX32">SUM(BI24:BI31)</f>
        <v>0</v>
      </c>
      <c r="BJ32" s="22">
        <f t="shared" si="64"/>
        <v>0</v>
      </c>
      <c r="BK32" s="22">
        <f t="shared" si="64"/>
        <v>0</v>
      </c>
      <c r="BL32" s="22">
        <f t="shared" si="64"/>
        <v>0</v>
      </c>
      <c r="BM32" s="22">
        <f t="shared" si="64"/>
        <v>0</v>
      </c>
      <c r="BN32" s="22">
        <f t="shared" si="64"/>
        <v>0</v>
      </c>
      <c r="BO32" s="22">
        <f t="shared" si="64"/>
        <v>0</v>
      </c>
      <c r="BP32" s="22">
        <f t="shared" si="64"/>
        <v>0</v>
      </c>
      <c r="BQ32" s="22">
        <f t="shared" si="64"/>
        <v>0</v>
      </c>
      <c r="BR32" s="22">
        <f t="shared" si="64"/>
        <v>0</v>
      </c>
      <c r="BS32" s="22">
        <f t="shared" si="64"/>
        <v>0</v>
      </c>
      <c r="BT32" s="22">
        <f t="shared" si="64"/>
        <v>0</v>
      </c>
      <c r="BU32" s="22">
        <f t="shared" si="64"/>
        <v>0</v>
      </c>
      <c r="BV32" s="22">
        <f t="shared" si="64"/>
        <v>0</v>
      </c>
      <c r="BW32" s="22">
        <f t="shared" si="64"/>
        <v>0</v>
      </c>
      <c r="BX32" s="22">
        <f t="shared" si="64"/>
        <v>0</v>
      </c>
      <c r="BY32" s="23">
        <f aca="true" t="shared" si="65" ref="BY32:CO32">SUM(BY24:BY31)</f>
        <v>0</v>
      </c>
      <c r="BZ32" s="22">
        <f t="shared" si="65"/>
        <v>0</v>
      </c>
      <c r="CA32" s="84">
        <f t="shared" si="65"/>
        <v>0</v>
      </c>
      <c r="CB32" s="84">
        <f t="shared" si="65"/>
        <v>0</v>
      </c>
      <c r="CC32" s="84">
        <f t="shared" si="65"/>
        <v>119075</v>
      </c>
      <c r="CD32" s="84">
        <f t="shared" si="65"/>
        <v>119075</v>
      </c>
      <c r="CE32" s="84">
        <f t="shared" si="65"/>
        <v>0</v>
      </c>
      <c r="CF32" s="84">
        <f t="shared" si="65"/>
        <v>0</v>
      </c>
      <c r="CG32" s="84">
        <f t="shared" si="65"/>
        <v>0</v>
      </c>
      <c r="CH32" s="84">
        <f t="shared" si="65"/>
        <v>0</v>
      </c>
      <c r="CI32" s="84">
        <f t="shared" si="65"/>
        <v>0</v>
      </c>
      <c r="CJ32" s="84">
        <f t="shared" si="65"/>
        <v>0</v>
      </c>
      <c r="CK32" s="84">
        <f t="shared" si="65"/>
        <v>0</v>
      </c>
      <c r="CL32" s="84">
        <f t="shared" si="65"/>
        <v>0</v>
      </c>
      <c r="CM32" s="84">
        <f t="shared" si="65"/>
        <v>238150</v>
      </c>
      <c r="CN32" s="84">
        <f t="shared" si="65"/>
        <v>238150</v>
      </c>
      <c r="CO32" s="84">
        <f t="shared" si="65"/>
        <v>0</v>
      </c>
    </row>
    <row r="33" spans="1:93" s="61" customFormat="1" ht="15" customHeight="1">
      <c r="A33" s="182" t="s">
        <v>62</v>
      </c>
      <c r="B33" s="183"/>
      <c r="C33" s="184"/>
      <c r="D33" s="74">
        <f aca="true" t="shared" si="66" ref="D33:J33">D23+D32</f>
        <v>451509.685</v>
      </c>
      <c r="E33" s="74">
        <f t="shared" si="66"/>
        <v>26.375</v>
      </c>
      <c r="F33" s="74">
        <f t="shared" si="66"/>
        <v>476342.7176749999</v>
      </c>
      <c r="G33" s="34">
        <f t="shared" si="66"/>
        <v>5418116.220000001</v>
      </c>
      <c r="H33" s="34">
        <f t="shared" si="66"/>
        <v>1636271.0899999999</v>
      </c>
      <c r="I33" s="34">
        <f t="shared" si="66"/>
        <v>7054387.31</v>
      </c>
      <c r="J33" s="34">
        <f t="shared" si="66"/>
        <v>4938071.117000001</v>
      </c>
      <c r="K33" s="34">
        <f aca="true" t="shared" si="67" ref="K33:P33">K23+K32</f>
        <v>0</v>
      </c>
      <c r="L33" s="34">
        <f>L23+L32</f>
        <v>26.375</v>
      </c>
      <c r="M33" s="34">
        <f>M23+M32</f>
        <v>0</v>
      </c>
      <c r="N33" s="34">
        <f t="shared" si="67"/>
        <v>0</v>
      </c>
      <c r="O33" s="34">
        <f t="shared" si="67"/>
        <v>0</v>
      </c>
      <c r="P33" s="34">
        <f t="shared" si="67"/>
        <v>0</v>
      </c>
      <c r="Q33" s="112">
        <f aca="true" t="shared" si="68" ref="Q33:V33">Q23+Q32</f>
        <v>58.05</v>
      </c>
      <c r="R33" s="112">
        <f t="shared" si="68"/>
        <v>13011791.4</v>
      </c>
      <c r="S33" s="112">
        <f t="shared" si="68"/>
        <v>3929561.0200000014</v>
      </c>
      <c r="T33" s="112">
        <f t="shared" si="68"/>
        <v>16941352.419999994</v>
      </c>
      <c r="U33" s="112">
        <f t="shared" si="68"/>
        <v>13722495.460200002</v>
      </c>
      <c r="V33" s="112">
        <f t="shared" si="68"/>
        <v>41894692.63056</v>
      </c>
      <c r="W33" s="112">
        <f>W23+W32</f>
        <v>0</v>
      </c>
      <c r="X33" s="74">
        <f>X23+X32</f>
        <v>60555259.20776</v>
      </c>
      <c r="Y33" s="74">
        <f>Y23+Y32</f>
        <v>218544.3</v>
      </c>
      <c r="Z33" s="74">
        <f aca="true" t="shared" si="69" ref="Z33:AJ33">Z23+Z32</f>
        <v>0</v>
      </c>
      <c r="AA33" s="74">
        <f>AA23+AA32</f>
        <v>37846</v>
      </c>
      <c r="AB33" s="74">
        <f t="shared" si="69"/>
        <v>454152</v>
      </c>
      <c r="AC33" s="74">
        <f>AC23+AC32</f>
        <v>224000</v>
      </c>
      <c r="AD33" s="74">
        <f>AD23+AD32</f>
        <v>680400</v>
      </c>
      <c r="AE33" s="74">
        <f t="shared" si="69"/>
        <v>308000</v>
      </c>
      <c r="AF33" s="74">
        <f t="shared" si="69"/>
        <v>40200</v>
      </c>
      <c r="AG33" s="74">
        <f t="shared" si="69"/>
        <v>34000</v>
      </c>
      <c r="AH33" s="74">
        <f t="shared" si="69"/>
        <v>510000</v>
      </c>
      <c r="AI33" s="74">
        <f t="shared" si="69"/>
        <v>0</v>
      </c>
      <c r="AJ33" s="74">
        <f t="shared" si="69"/>
        <v>0</v>
      </c>
      <c r="AK33" s="74">
        <f>AK23+AK32</f>
        <v>63024555.50776</v>
      </c>
      <c r="AL33" s="91">
        <f>AL23+AL32</f>
        <v>0</v>
      </c>
      <c r="AM33" s="91">
        <f aca="true" t="shared" si="70" ref="AM33:AV33">AM23+AM32</f>
        <v>56</v>
      </c>
      <c r="AN33" s="91">
        <f t="shared" si="70"/>
        <v>4600</v>
      </c>
      <c r="AO33" s="91">
        <f t="shared" si="70"/>
        <v>400</v>
      </c>
      <c r="AP33" s="91">
        <f t="shared" si="70"/>
        <v>224000</v>
      </c>
      <c r="AQ33" s="91">
        <f t="shared" si="70"/>
        <v>13800</v>
      </c>
      <c r="AR33" s="91">
        <f t="shared" si="70"/>
        <v>33600</v>
      </c>
      <c r="AS33" s="91">
        <f t="shared" si="70"/>
        <v>12650</v>
      </c>
      <c r="AT33" s="91">
        <f t="shared" si="70"/>
        <v>483</v>
      </c>
      <c r="AU33" s="91">
        <f t="shared" si="70"/>
        <v>646800</v>
      </c>
      <c r="AV33" s="91">
        <f t="shared" si="70"/>
        <v>680400</v>
      </c>
      <c r="AW33" s="37"/>
      <c r="AX33" s="37"/>
      <c r="AY33" s="34" t="e">
        <f>AY23+AY32</f>
        <v>#REF!</v>
      </c>
      <c r="AZ33" s="34">
        <f>AZ23+AZ32</f>
        <v>0</v>
      </c>
      <c r="BA33" s="34">
        <f>BA23+BA32</f>
        <v>37846</v>
      </c>
      <c r="BB33" s="91">
        <f>BB23+BB32</f>
        <v>0</v>
      </c>
      <c r="BC33" s="34">
        <f aca="true" t="shared" si="71" ref="BC33:BH33">BC23+BC32</f>
        <v>0</v>
      </c>
      <c r="BD33" s="34">
        <f t="shared" si="71"/>
        <v>0</v>
      </c>
      <c r="BE33" s="34">
        <f t="shared" si="71"/>
        <v>0</v>
      </c>
      <c r="BF33" s="34">
        <f t="shared" si="71"/>
        <v>606200</v>
      </c>
      <c r="BG33" s="34">
        <f t="shared" si="71"/>
        <v>606200</v>
      </c>
      <c r="BH33" s="34">
        <f t="shared" si="71"/>
        <v>1212400</v>
      </c>
      <c r="BI33" s="34">
        <f aca="true" t="shared" si="72" ref="BI33:BX33">BI23+BI32</f>
        <v>0</v>
      </c>
      <c r="BJ33" s="34">
        <f t="shared" si="72"/>
        <v>40200</v>
      </c>
      <c r="BK33" s="34">
        <f t="shared" si="72"/>
        <v>40200</v>
      </c>
      <c r="BL33" s="34">
        <f t="shared" si="72"/>
        <v>0</v>
      </c>
      <c r="BM33" s="34">
        <f t="shared" si="72"/>
        <v>255000</v>
      </c>
      <c r="BN33" s="34">
        <f t="shared" si="72"/>
        <v>255000</v>
      </c>
      <c r="BO33" s="34">
        <f t="shared" si="72"/>
        <v>510000</v>
      </c>
      <c r="BP33" s="34">
        <f t="shared" si="72"/>
        <v>0</v>
      </c>
      <c r="BQ33" s="34">
        <f t="shared" si="72"/>
        <v>34000</v>
      </c>
      <c r="BR33" s="34">
        <f t="shared" si="72"/>
        <v>0</v>
      </c>
      <c r="BS33" s="34">
        <f t="shared" si="72"/>
        <v>0</v>
      </c>
      <c r="BT33" s="34">
        <f t="shared" si="72"/>
        <v>0</v>
      </c>
      <c r="BU33" s="34">
        <f t="shared" si="72"/>
        <v>34000</v>
      </c>
      <c r="BV33" s="34">
        <f t="shared" si="72"/>
        <v>0</v>
      </c>
      <c r="BW33" s="34">
        <f t="shared" si="72"/>
        <v>0</v>
      </c>
      <c r="BX33" s="34">
        <f t="shared" si="72"/>
        <v>0</v>
      </c>
      <c r="BY33" s="94">
        <f aca="true" t="shared" si="73" ref="BY33:CO33">BY23+BY32</f>
        <v>0</v>
      </c>
      <c r="BZ33" s="34">
        <f t="shared" si="73"/>
        <v>0</v>
      </c>
      <c r="CA33" s="85">
        <f t="shared" si="73"/>
        <v>0</v>
      </c>
      <c r="CB33" s="85">
        <f t="shared" si="73"/>
        <v>74200</v>
      </c>
      <c r="CC33" s="85">
        <f t="shared" si="73"/>
        <v>606200</v>
      </c>
      <c r="CD33" s="85">
        <f t="shared" si="73"/>
        <v>606200</v>
      </c>
      <c r="CE33" s="85">
        <f t="shared" si="73"/>
        <v>0</v>
      </c>
      <c r="CF33" s="85">
        <f t="shared" si="73"/>
        <v>0</v>
      </c>
      <c r="CG33" s="85">
        <f t="shared" si="73"/>
        <v>255000</v>
      </c>
      <c r="CH33" s="85">
        <f t="shared" si="73"/>
        <v>255000</v>
      </c>
      <c r="CI33" s="85">
        <f t="shared" si="73"/>
        <v>0</v>
      </c>
      <c r="CJ33" s="85">
        <f t="shared" si="73"/>
        <v>0</v>
      </c>
      <c r="CK33" s="85">
        <f t="shared" si="73"/>
        <v>0</v>
      </c>
      <c r="CL33" s="85">
        <f t="shared" si="73"/>
        <v>0</v>
      </c>
      <c r="CM33" s="85">
        <f t="shared" si="73"/>
        <v>1796600</v>
      </c>
      <c r="CN33" s="85">
        <f t="shared" si="73"/>
        <v>1796600</v>
      </c>
      <c r="CO33" s="85">
        <f t="shared" si="73"/>
        <v>0</v>
      </c>
    </row>
    <row r="34" spans="1:93" s="26" customFormat="1" ht="15.75" customHeight="1">
      <c r="A34" s="36">
        <v>1</v>
      </c>
      <c r="B34" s="51" t="s">
        <v>3</v>
      </c>
      <c r="C34" s="2" t="s">
        <v>9</v>
      </c>
      <c r="D34" s="104">
        <v>26249.44</v>
      </c>
      <c r="E34" s="102">
        <v>1.055</v>
      </c>
      <c r="F34" s="10">
        <f t="shared" si="4"/>
        <v>27693.1592</v>
      </c>
      <c r="G34" s="11">
        <f>ROUND(D34*12,2)</f>
        <v>314993.28</v>
      </c>
      <c r="H34" s="10">
        <f>ROUND(G34*30.2/100,2)</f>
        <v>95127.97</v>
      </c>
      <c r="I34" s="28">
        <f>(G34+H34)</f>
        <v>410121.25</v>
      </c>
      <c r="J34" s="13">
        <f>I34*27%</f>
        <v>110732.7375</v>
      </c>
      <c r="K34" s="10">
        <v>26356.28</v>
      </c>
      <c r="L34" s="102">
        <v>1.055</v>
      </c>
      <c r="M34" s="106">
        <v>28018.5</v>
      </c>
      <c r="N34" s="11">
        <f>ROUND(M34*12,2)</f>
        <v>336222</v>
      </c>
      <c r="O34" s="10">
        <f>ROUND(N34*30.2/100,2)</f>
        <v>101539.04</v>
      </c>
      <c r="P34" s="12">
        <f>(N34+O34)</f>
        <v>437761.04</v>
      </c>
      <c r="Q34" s="45">
        <v>1.5</v>
      </c>
      <c r="R34" s="10">
        <f>ROUND(Q34*18679*12,2)</f>
        <v>336222</v>
      </c>
      <c r="S34" s="10">
        <f>ROUND(R34*30.2/100,2)</f>
        <v>101539.04</v>
      </c>
      <c r="T34" s="44">
        <f>(R34+S34)</f>
        <v>437761.04</v>
      </c>
      <c r="U34" s="39">
        <f>T34</f>
        <v>437761.04</v>
      </c>
      <c r="V34" s="44">
        <f>483426.08*12*1.302</f>
        <v>7553049.07392</v>
      </c>
      <c r="W34" s="44">
        <v>0</v>
      </c>
      <c r="X34" s="67">
        <f t="shared" si="17"/>
        <v>8539303.89142</v>
      </c>
      <c r="Y34" s="67"/>
      <c r="Z34" s="67"/>
      <c r="AA34" s="69"/>
      <c r="AB34" s="67"/>
      <c r="AC34" s="67">
        <v>20000</v>
      </c>
      <c r="AD34" s="67">
        <v>60750</v>
      </c>
      <c r="AE34" s="67">
        <v>27500</v>
      </c>
      <c r="AF34" s="67">
        <f>750*12</f>
        <v>9000</v>
      </c>
      <c r="AG34" s="67">
        <v>72000</v>
      </c>
      <c r="AH34" s="67">
        <f>160000+135000+10000</f>
        <v>305000</v>
      </c>
      <c r="AI34" s="67">
        <v>7000</v>
      </c>
      <c r="AJ34" s="67">
        <v>700000</v>
      </c>
      <c r="AK34" s="135">
        <f t="shared" si="18"/>
        <v>9740553.89142</v>
      </c>
      <c r="AM34" s="36">
        <v>5</v>
      </c>
      <c r="AN34" s="36">
        <v>200</v>
      </c>
      <c r="AO34" s="36">
        <f t="shared" si="49"/>
        <v>20</v>
      </c>
      <c r="AP34" s="81">
        <f t="shared" si="44"/>
        <v>20000</v>
      </c>
      <c r="AQ34" s="36">
        <f t="shared" si="45"/>
        <v>600</v>
      </c>
      <c r="AR34" s="36">
        <f t="shared" si="46"/>
        <v>3000</v>
      </c>
      <c r="AS34" s="36">
        <v>550</v>
      </c>
      <c r="AT34" s="36">
        <v>21</v>
      </c>
      <c r="AU34" s="37">
        <f t="shared" si="47"/>
        <v>57750</v>
      </c>
      <c r="AV34" s="81">
        <f t="shared" si="48"/>
        <v>60750</v>
      </c>
      <c r="AW34" s="37"/>
      <c r="AX34" s="37"/>
      <c r="AY34" s="37" t="e">
        <f>(J34+#REF!+U34+#REF!+V34+W34)/12</f>
        <v>#REF!</v>
      </c>
      <c r="BA34" s="80">
        <f t="shared" si="19"/>
        <v>0</v>
      </c>
      <c r="BC34" s="37">
        <f t="shared" si="20"/>
        <v>0</v>
      </c>
      <c r="BD34" s="37">
        <f aca="true" t="shared" si="74" ref="BD34:BD67">SUM(BC34:BC34)</f>
        <v>0</v>
      </c>
      <c r="BE34" s="37"/>
      <c r="BF34" s="37">
        <f t="shared" si="21"/>
        <v>54125</v>
      </c>
      <c r="BG34" s="37">
        <f t="shared" si="22"/>
        <v>54125</v>
      </c>
      <c r="BH34" s="37">
        <f t="shared" si="23"/>
        <v>108250</v>
      </c>
      <c r="BI34" s="37"/>
      <c r="BJ34" s="37">
        <f t="shared" si="24"/>
        <v>9000</v>
      </c>
      <c r="BK34" s="37">
        <f t="shared" si="25"/>
        <v>9000</v>
      </c>
      <c r="BL34" s="37"/>
      <c r="BM34" s="37">
        <f t="shared" si="26"/>
        <v>152500</v>
      </c>
      <c r="BN34" s="37">
        <f t="shared" si="27"/>
        <v>152500</v>
      </c>
      <c r="BO34" s="37">
        <f t="shared" si="28"/>
        <v>305000</v>
      </c>
      <c r="BP34" s="36"/>
      <c r="BQ34" s="36"/>
      <c r="BR34" s="36">
        <f>AG34/2</f>
        <v>36000</v>
      </c>
      <c r="BS34" s="36">
        <f>BR34</f>
        <v>36000</v>
      </c>
      <c r="BT34" s="37">
        <f t="shared" si="30"/>
        <v>700000</v>
      </c>
      <c r="BU34" s="37">
        <f>BQ34+BR34+BS34+BT34</f>
        <v>772000</v>
      </c>
      <c r="BV34" s="36"/>
      <c r="BW34" s="37">
        <f t="shared" si="31"/>
        <v>7000</v>
      </c>
      <c r="BX34" s="37">
        <f t="shared" si="32"/>
        <v>7000</v>
      </c>
      <c r="CA34" s="62">
        <f t="shared" si="33"/>
        <v>0</v>
      </c>
      <c r="CB34" s="62">
        <f t="shared" si="34"/>
        <v>9000</v>
      </c>
      <c r="CC34" s="62">
        <f t="shared" si="35"/>
        <v>54125</v>
      </c>
      <c r="CD34" s="62">
        <f t="shared" si="36"/>
        <v>97125</v>
      </c>
      <c r="CE34" s="62"/>
      <c r="CF34" s="62"/>
      <c r="CG34" s="62">
        <f t="shared" si="37"/>
        <v>152500</v>
      </c>
      <c r="CH34" s="62">
        <f t="shared" si="38"/>
        <v>152500</v>
      </c>
      <c r="CI34" s="62">
        <f t="shared" si="39"/>
        <v>36000</v>
      </c>
      <c r="CJ34" s="62"/>
      <c r="CK34" s="62"/>
      <c r="CL34" s="62">
        <f t="shared" si="40"/>
        <v>700000</v>
      </c>
      <c r="CM34" s="62">
        <f t="shared" si="41"/>
        <v>1201250</v>
      </c>
      <c r="CN34" s="62">
        <f t="shared" si="42"/>
        <v>1201250</v>
      </c>
      <c r="CO34" s="62">
        <f t="shared" si="43"/>
        <v>0</v>
      </c>
    </row>
    <row r="35" spans="1:93" s="26" customFormat="1" ht="15" customHeight="1">
      <c r="A35" s="36">
        <v>2</v>
      </c>
      <c r="B35" s="51"/>
      <c r="C35" s="2" t="s">
        <v>10</v>
      </c>
      <c r="D35" s="104">
        <v>5271.254999999999</v>
      </c>
      <c r="E35" s="102">
        <v>1.055</v>
      </c>
      <c r="F35" s="10">
        <v>5603.7</v>
      </c>
      <c r="G35" s="11">
        <f aca="true" t="shared" si="75" ref="G35:G67">ROUND(D35*12,2)</f>
        <v>63255.06</v>
      </c>
      <c r="H35" s="10">
        <f aca="true" t="shared" si="76" ref="H35:H67">ROUND(G35*30.2/100,2)</f>
        <v>19103.03</v>
      </c>
      <c r="I35" s="28">
        <f aca="true" t="shared" si="77" ref="I35:I67">(G35+H35)</f>
        <v>82358.09</v>
      </c>
      <c r="J35" s="13">
        <f aca="true" t="shared" si="78" ref="J35:J67">I35*27%</f>
        <v>22236.6843</v>
      </c>
      <c r="K35" s="10">
        <v>0</v>
      </c>
      <c r="L35" s="102">
        <v>1.055</v>
      </c>
      <c r="M35" s="10">
        <f t="shared" si="9"/>
        <v>0</v>
      </c>
      <c r="N35" s="11">
        <f aca="true" t="shared" si="79" ref="N35:N67">ROUND(M35*12,2)</f>
        <v>0</v>
      </c>
      <c r="O35" s="10">
        <f aca="true" t="shared" si="80" ref="O35:O67">ROUND(N35*30.2/100,2)</f>
        <v>0</v>
      </c>
      <c r="P35" s="12">
        <f aca="true" t="shared" si="81" ref="P35:P65">(N35+O35)</f>
        <v>0</v>
      </c>
      <c r="Q35" s="45">
        <v>0</v>
      </c>
      <c r="R35" s="10">
        <f aca="true" t="shared" si="82" ref="R35:R67">ROUND(Q35*18679*12,2)</f>
        <v>0</v>
      </c>
      <c r="S35" s="10">
        <f aca="true" t="shared" si="83" ref="S35:S67">ROUND(R35*30.2/100,2)</f>
        <v>0</v>
      </c>
      <c r="T35" s="44">
        <f aca="true" t="shared" si="84" ref="T35:T67">(R35+S35)</f>
        <v>0</v>
      </c>
      <c r="U35" s="39">
        <f aca="true" t="shared" si="85" ref="U35:U67">T35</f>
        <v>0</v>
      </c>
      <c r="V35" s="44">
        <v>0</v>
      </c>
      <c r="W35" s="44">
        <v>0</v>
      </c>
      <c r="X35" s="67">
        <f t="shared" si="17"/>
        <v>22236.6843</v>
      </c>
      <c r="Y35" s="67"/>
      <c r="Z35" s="67"/>
      <c r="AA35" s="69"/>
      <c r="AB35" s="67"/>
      <c r="AC35" s="67">
        <v>0</v>
      </c>
      <c r="AD35" s="67">
        <v>0</v>
      </c>
      <c r="AE35" s="67">
        <v>0</v>
      </c>
      <c r="AF35" s="67">
        <f>600*12</f>
        <v>7200</v>
      </c>
      <c r="AG35" s="67">
        <v>72000</v>
      </c>
      <c r="AH35" s="67">
        <f aca="true" t="shared" si="86" ref="AH35:AH53">160000+135000+10000</f>
        <v>305000</v>
      </c>
      <c r="AI35" s="67">
        <v>7000</v>
      </c>
      <c r="AJ35" s="67">
        <v>700000</v>
      </c>
      <c r="AK35" s="135">
        <f t="shared" si="18"/>
        <v>1113436.6842999998</v>
      </c>
      <c r="AM35" s="36"/>
      <c r="AN35" s="36">
        <v>200</v>
      </c>
      <c r="AO35" s="36"/>
      <c r="AP35" s="81">
        <f t="shared" si="44"/>
        <v>0</v>
      </c>
      <c r="AQ35" s="36">
        <f t="shared" si="45"/>
        <v>600</v>
      </c>
      <c r="AR35" s="36">
        <f t="shared" si="46"/>
        <v>0</v>
      </c>
      <c r="AS35" s="36">
        <v>550</v>
      </c>
      <c r="AT35" s="36">
        <v>21</v>
      </c>
      <c r="AU35" s="37">
        <f t="shared" si="47"/>
        <v>0</v>
      </c>
      <c r="AV35" s="81">
        <f t="shared" si="48"/>
        <v>0</v>
      </c>
      <c r="AW35" s="37"/>
      <c r="AX35" s="37"/>
      <c r="AY35" s="37" t="e">
        <f>(J35+#REF!+U35+#REF!+V35+W35)/12</f>
        <v>#REF!</v>
      </c>
      <c r="BA35" s="80">
        <f t="shared" si="19"/>
        <v>0</v>
      </c>
      <c r="BC35" s="37">
        <f t="shared" si="20"/>
        <v>0</v>
      </c>
      <c r="BD35" s="37">
        <f t="shared" si="74"/>
        <v>0</v>
      </c>
      <c r="BE35" s="37"/>
      <c r="BF35" s="37">
        <f t="shared" si="21"/>
        <v>0</v>
      </c>
      <c r="BG35" s="37">
        <f t="shared" si="22"/>
        <v>0</v>
      </c>
      <c r="BH35" s="37">
        <f t="shared" si="23"/>
        <v>0</v>
      </c>
      <c r="BI35" s="37"/>
      <c r="BJ35" s="37">
        <f t="shared" si="24"/>
        <v>7200</v>
      </c>
      <c r="BK35" s="37">
        <f t="shared" si="25"/>
        <v>7200</v>
      </c>
      <c r="BL35" s="37"/>
      <c r="BM35" s="37">
        <f t="shared" si="26"/>
        <v>152500</v>
      </c>
      <c r="BN35" s="37">
        <f t="shared" si="27"/>
        <v>152500</v>
      </c>
      <c r="BO35" s="37">
        <f t="shared" si="28"/>
        <v>305000</v>
      </c>
      <c r="BP35" s="36"/>
      <c r="BQ35" s="36"/>
      <c r="BR35" s="36">
        <f aca="true" t="shared" si="87" ref="BR35:BR67">AG35/2</f>
        <v>36000</v>
      </c>
      <c r="BS35" s="36">
        <f aca="true" t="shared" si="88" ref="BS35:BS67">BR35</f>
        <v>36000</v>
      </c>
      <c r="BT35" s="37">
        <f t="shared" si="30"/>
        <v>700000</v>
      </c>
      <c r="BU35" s="37">
        <f aca="true" t="shared" si="89" ref="BU35:BU67">BQ35+BR35+BS35+BT35</f>
        <v>772000</v>
      </c>
      <c r="BV35" s="36"/>
      <c r="BW35" s="37">
        <f t="shared" si="31"/>
        <v>7000</v>
      </c>
      <c r="BX35" s="37">
        <f t="shared" si="32"/>
        <v>7000</v>
      </c>
      <c r="CA35" s="62">
        <f t="shared" si="33"/>
        <v>0</v>
      </c>
      <c r="CB35" s="62">
        <f t="shared" si="34"/>
        <v>7200</v>
      </c>
      <c r="CC35" s="62">
        <f t="shared" si="35"/>
        <v>0</v>
      </c>
      <c r="CD35" s="62">
        <f t="shared" si="36"/>
        <v>43000</v>
      </c>
      <c r="CE35" s="62"/>
      <c r="CF35" s="62"/>
      <c r="CG35" s="62">
        <f t="shared" si="37"/>
        <v>152500</v>
      </c>
      <c r="CH35" s="62">
        <f t="shared" si="38"/>
        <v>152500</v>
      </c>
      <c r="CI35" s="62">
        <f t="shared" si="39"/>
        <v>36000</v>
      </c>
      <c r="CJ35" s="62"/>
      <c r="CK35" s="62"/>
      <c r="CL35" s="62">
        <f t="shared" si="40"/>
        <v>700000</v>
      </c>
      <c r="CM35" s="62">
        <f t="shared" si="41"/>
        <v>1091200</v>
      </c>
      <c r="CN35" s="62">
        <f t="shared" si="42"/>
        <v>1091200</v>
      </c>
      <c r="CO35" s="62">
        <f t="shared" si="43"/>
        <v>0</v>
      </c>
    </row>
    <row r="36" spans="1:93" s="26" customFormat="1" ht="15" customHeight="1">
      <c r="A36" s="36">
        <v>3</v>
      </c>
      <c r="B36" s="51"/>
      <c r="C36" s="2" t="s">
        <v>11</v>
      </c>
      <c r="D36" s="10">
        <v>29151.12</v>
      </c>
      <c r="E36" s="102">
        <v>1.055</v>
      </c>
      <c r="F36" s="10">
        <f t="shared" si="4"/>
        <v>30754.431599999996</v>
      </c>
      <c r="G36" s="11">
        <f t="shared" si="75"/>
        <v>349813.44</v>
      </c>
      <c r="H36" s="10">
        <f t="shared" si="76"/>
        <v>105643.66</v>
      </c>
      <c r="I36" s="28">
        <f t="shared" si="77"/>
        <v>455457.1</v>
      </c>
      <c r="J36" s="13">
        <f t="shared" si="78"/>
        <v>122973.417</v>
      </c>
      <c r="K36" s="10">
        <v>54090.83</v>
      </c>
      <c r="L36" s="102">
        <v>1.055</v>
      </c>
      <c r="M36" s="10">
        <f t="shared" si="9"/>
        <v>57065.82565</v>
      </c>
      <c r="N36" s="11">
        <f t="shared" si="79"/>
        <v>684789.91</v>
      </c>
      <c r="O36" s="10">
        <f t="shared" si="80"/>
        <v>206806.55</v>
      </c>
      <c r="P36" s="12">
        <f t="shared" si="81"/>
        <v>891596.46</v>
      </c>
      <c r="Q36" s="45">
        <v>2</v>
      </c>
      <c r="R36" s="10">
        <f t="shared" si="82"/>
        <v>448296</v>
      </c>
      <c r="S36" s="10">
        <f t="shared" si="83"/>
        <v>135385.39</v>
      </c>
      <c r="T36" s="44">
        <f t="shared" si="84"/>
        <v>583681.39</v>
      </c>
      <c r="U36" s="39">
        <f t="shared" si="85"/>
        <v>583681.39</v>
      </c>
      <c r="V36" s="44">
        <f>518708.19*12*1.302</f>
        <v>8104296.76056</v>
      </c>
      <c r="W36" s="44">
        <v>0</v>
      </c>
      <c r="X36" s="67">
        <f t="shared" si="17"/>
        <v>9702548.02756</v>
      </c>
      <c r="Y36" s="67"/>
      <c r="Z36" s="67"/>
      <c r="AA36" s="69"/>
      <c r="AB36" s="67"/>
      <c r="AC36" s="67">
        <v>28000</v>
      </c>
      <c r="AD36" s="67">
        <v>85050</v>
      </c>
      <c r="AE36" s="67">
        <v>38500</v>
      </c>
      <c r="AF36" s="67">
        <f>600*12</f>
        <v>7200</v>
      </c>
      <c r="AG36" s="67">
        <v>72000</v>
      </c>
      <c r="AH36" s="67">
        <f t="shared" si="86"/>
        <v>305000</v>
      </c>
      <c r="AI36" s="67">
        <v>7000</v>
      </c>
      <c r="AJ36" s="67">
        <v>700000</v>
      </c>
      <c r="AK36" s="135">
        <f t="shared" si="18"/>
        <v>10945298.02756</v>
      </c>
      <c r="AM36" s="36">
        <v>7</v>
      </c>
      <c r="AN36" s="36">
        <v>200</v>
      </c>
      <c r="AO36" s="36">
        <f t="shared" si="49"/>
        <v>20</v>
      </c>
      <c r="AP36" s="81">
        <f t="shared" si="44"/>
        <v>28000</v>
      </c>
      <c r="AQ36" s="36">
        <f t="shared" si="45"/>
        <v>600</v>
      </c>
      <c r="AR36" s="36">
        <f t="shared" si="46"/>
        <v>4200</v>
      </c>
      <c r="AS36" s="36">
        <v>550</v>
      </c>
      <c r="AT36" s="36">
        <v>21</v>
      </c>
      <c r="AU36" s="37">
        <f t="shared" si="47"/>
        <v>80850</v>
      </c>
      <c r="AV36" s="81">
        <f t="shared" si="48"/>
        <v>85050</v>
      </c>
      <c r="AW36" s="37"/>
      <c r="AX36" s="37"/>
      <c r="AY36" s="37" t="e">
        <f>(J36+#REF!+U36+#REF!+V36+W36)/12</f>
        <v>#REF!</v>
      </c>
      <c r="BA36" s="80">
        <f t="shared" si="19"/>
        <v>0</v>
      </c>
      <c r="BC36" s="37">
        <f t="shared" si="20"/>
        <v>0</v>
      </c>
      <c r="BD36" s="37">
        <f t="shared" si="74"/>
        <v>0</v>
      </c>
      <c r="BE36" s="37"/>
      <c r="BF36" s="37">
        <f t="shared" si="21"/>
        <v>75775</v>
      </c>
      <c r="BG36" s="37">
        <f t="shared" si="22"/>
        <v>75775</v>
      </c>
      <c r="BH36" s="37">
        <f t="shared" si="23"/>
        <v>151550</v>
      </c>
      <c r="BI36" s="37"/>
      <c r="BJ36" s="37">
        <f t="shared" si="24"/>
        <v>7200</v>
      </c>
      <c r="BK36" s="37">
        <f t="shared" si="25"/>
        <v>7200</v>
      </c>
      <c r="BL36" s="37"/>
      <c r="BM36" s="37">
        <f t="shared" si="26"/>
        <v>152500</v>
      </c>
      <c r="BN36" s="37">
        <f t="shared" si="27"/>
        <v>152500</v>
      </c>
      <c r="BO36" s="37">
        <f t="shared" si="28"/>
        <v>305000</v>
      </c>
      <c r="BP36" s="36"/>
      <c r="BQ36" s="36"/>
      <c r="BR36" s="36">
        <f t="shared" si="87"/>
        <v>36000</v>
      </c>
      <c r="BS36" s="36">
        <f t="shared" si="88"/>
        <v>36000</v>
      </c>
      <c r="BT36" s="37">
        <f t="shared" si="30"/>
        <v>700000</v>
      </c>
      <c r="BU36" s="37">
        <f t="shared" si="89"/>
        <v>772000</v>
      </c>
      <c r="BV36" s="36"/>
      <c r="BW36" s="37">
        <f t="shared" si="31"/>
        <v>7000</v>
      </c>
      <c r="BX36" s="37">
        <f t="shared" si="32"/>
        <v>7000</v>
      </c>
      <c r="CA36" s="62">
        <f t="shared" si="33"/>
        <v>0</v>
      </c>
      <c r="CB36" s="62">
        <f t="shared" si="34"/>
        <v>7200</v>
      </c>
      <c r="CC36" s="62">
        <f t="shared" si="35"/>
        <v>75775</v>
      </c>
      <c r="CD36" s="62">
        <f t="shared" si="36"/>
        <v>118775</v>
      </c>
      <c r="CE36" s="62"/>
      <c r="CF36" s="62"/>
      <c r="CG36" s="62">
        <f t="shared" si="37"/>
        <v>152500</v>
      </c>
      <c r="CH36" s="62">
        <f t="shared" si="38"/>
        <v>152500</v>
      </c>
      <c r="CI36" s="62">
        <f t="shared" si="39"/>
        <v>36000</v>
      </c>
      <c r="CJ36" s="62"/>
      <c r="CK36" s="62"/>
      <c r="CL36" s="62">
        <f t="shared" si="40"/>
        <v>700000</v>
      </c>
      <c r="CM36" s="62">
        <f t="shared" si="41"/>
        <v>1242750</v>
      </c>
      <c r="CN36" s="62">
        <f t="shared" si="42"/>
        <v>1242750</v>
      </c>
      <c r="CO36" s="62">
        <f t="shared" si="43"/>
        <v>0</v>
      </c>
    </row>
    <row r="37" spans="1:93" s="26" customFormat="1" ht="15" customHeight="1">
      <c r="A37" s="36">
        <v>4</v>
      </c>
      <c r="B37" s="51"/>
      <c r="C37" s="2" t="s">
        <v>13</v>
      </c>
      <c r="D37" s="10">
        <v>28446.802499999998</v>
      </c>
      <c r="E37" s="102">
        <v>1.055</v>
      </c>
      <c r="F37" s="10">
        <f t="shared" si="4"/>
        <v>30011.376637499998</v>
      </c>
      <c r="G37" s="11">
        <f t="shared" si="75"/>
        <v>341361.63</v>
      </c>
      <c r="H37" s="10">
        <f t="shared" si="76"/>
        <v>103091.21</v>
      </c>
      <c r="I37" s="28">
        <f t="shared" si="77"/>
        <v>444452.84</v>
      </c>
      <c r="J37" s="13">
        <f t="shared" si="78"/>
        <v>120002.26680000001</v>
      </c>
      <c r="K37" s="10">
        <v>17570.85</v>
      </c>
      <c r="L37" s="102">
        <v>1.055</v>
      </c>
      <c r="M37" s="106">
        <v>18679</v>
      </c>
      <c r="N37" s="11">
        <f t="shared" si="79"/>
        <v>224148</v>
      </c>
      <c r="O37" s="10">
        <f t="shared" si="80"/>
        <v>67692.7</v>
      </c>
      <c r="P37" s="12">
        <f t="shared" si="81"/>
        <v>291840.7</v>
      </c>
      <c r="Q37" s="45">
        <v>1</v>
      </c>
      <c r="R37" s="10">
        <f t="shared" si="82"/>
        <v>224148</v>
      </c>
      <c r="S37" s="10">
        <f t="shared" si="83"/>
        <v>67692.7</v>
      </c>
      <c r="T37" s="44">
        <f t="shared" si="84"/>
        <v>291840.7</v>
      </c>
      <c r="U37" s="39">
        <f t="shared" si="85"/>
        <v>291840.7</v>
      </c>
      <c r="V37" s="44">
        <f>358835.12*12*1.302</f>
        <v>5606439.914879999</v>
      </c>
      <c r="W37" s="44">
        <v>0</v>
      </c>
      <c r="X37" s="67">
        <f t="shared" si="17"/>
        <v>6310123.581679999</v>
      </c>
      <c r="Y37" s="67"/>
      <c r="Z37" s="67"/>
      <c r="AA37" s="69"/>
      <c r="AB37" s="67"/>
      <c r="AC37" s="67">
        <v>20000</v>
      </c>
      <c r="AD37" s="67">
        <v>60750</v>
      </c>
      <c r="AE37" s="67">
        <v>27500</v>
      </c>
      <c r="AF37" s="67">
        <f>1300*12</f>
        <v>15600</v>
      </c>
      <c r="AG37" s="67">
        <v>72000</v>
      </c>
      <c r="AH37" s="67">
        <f t="shared" si="86"/>
        <v>305000</v>
      </c>
      <c r="AI37" s="67">
        <v>7000</v>
      </c>
      <c r="AJ37" s="67">
        <v>700000</v>
      </c>
      <c r="AK37" s="135">
        <f t="shared" si="18"/>
        <v>7517973.581679999</v>
      </c>
      <c r="AM37" s="36">
        <v>5</v>
      </c>
      <c r="AN37" s="36">
        <v>200</v>
      </c>
      <c r="AO37" s="36">
        <f t="shared" si="49"/>
        <v>20</v>
      </c>
      <c r="AP37" s="81">
        <f t="shared" si="44"/>
        <v>20000</v>
      </c>
      <c r="AQ37" s="36">
        <f t="shared" si="45"/>
        <v>600</v>
      </c>
      <c r="AR37" s="36">
        <f t="shared" si="46"/>
        <v>3000</v>
      </c>
      <c r="AS37" s="36">
        <v>550</v>
      </c>
      <c r="AT37" s="36">
        <v>21</v>
      </c>
      <c r="AU37" s="37">
        <f t="shared" si="47"/>
        <v>57750</v>
      </c>
      <c r="AV37" s="81">
        <f t="shared" si="48"/>
        <v>60750</v>
      </c>
      <c r="AW37" s="37"/>
      <c r="AX37" s="37"/>
      <c r="AY37" s="37" t="e">
        <f>(J37+#REF!+U37+#REF!+V37+W37)/12</f>
        <v>#REF!</v>
      </c>
      <c r="BA37" s="80">
        <f t="shared" si="19"/>
        <v>0</v>
      </c>
      <c r="BC37" s="37">
        <f t="shared" si="20"/>
        <v>0</v>
      </c>
      <c r="BD37" s="37">
        <f t="shared" si="74"/>
        <v>0</v>
      </c>
      <c r="BE37" s="37"/>
      <c r="BF37" s="37">
        <f t="shared" si="21"/>
        <v>54125</v>
      </c>
      <c r="BG37" s="37">
        <f t="shared" si="22"/>
        <v>54125</v>
      </c>
      <c r="BH37" s="37">
        <f t="shared" si="23"/>
        <v>108250</v>
      </c>
      <c r="BI37" s="37"/>
      <c r="BJ37" s="37">
        <f t="shared" si="24"/>
        <v>15600</v>
      </c>
      <c r="BK37" s="37">
        <f t="shared" si="25"/>
        <v>15600</v>
      </c>
      <c r="BL37" s="37"/>
      <c r="BM37" s="37">
        <f t="shared" si="26"/>
        <v>152500</v>
      </c>
      <c r="BN37" s="37">
        <f t="shared" si="27"/>
        <v>152500</v>
      </c>
      <c r="BO37" s="37">
        <f t="shared" si="28"/>
        <v>305000</v>
      </c>
      <c r="BP37" s="36"/>
      <c r="BQ37" s="36"/>
      <c r="BR37" s="36">
        <f t="shared" si="87"/>
        <v>36000</v>
      </c>
      <c r="BS37" s="36">
        <f t="shared" si="88"/>
        <v>36000</v>
      </c>
      <c r="BT37" s="37">
        <f t="shared" si="30"/>
        <v>700000</v>
      </c>
      <c r="BU37" s="37">
        <f t="shared" si="89"/>
        <v>772000</v>
      </c>
      <c r="BV37" s="36"/>
      <c r="BW37" s="37">
        <f t="shared" si="31"/>
        <v>7000</v>
      </c>
      <c r="BX37" s="37">
        <f t="shared" si="32"/>
        <v>7000</v>
      </c>
      <c r="CA37" s="62">
        <f t="shared" si="33"/>
        <v>0</v>
      </c>
      <c r="CB37" s="62">
        <f t="shared" si="34"/>
        <v>15600</v>
      </c>
      <c r="CC37" s="62">
        <f t="shared" si="35"/>
        <v>54125</v>
      </c>
      <c r="CD37" s="62">
        <f t="shared" si="36"/>
        <v>97125</v>
      </c>
      <c r="CE37" s="62"/>
      <c r="CF37" s="62"/>
      <c r="CG37" s="62">
        <f t="shared" si="37"/>
        <v>152500</v>
      </c>
      <c r="CH37" s="62">
        <f t="shared" si="38"/>
        <v>152500</v>
      </c>
      <c r="CI37" s="62">
        <f t="shared" si="39"/>
        <v>36000</v>
      </c>
      <c r="CJ37" s="62"/>
      <c r="CK37" s="62"/>
      <c r="CL37" s="62">
        <f t="shared" si="40"/>
        <v>700000</v>
      </c>
      <c r="CM37" s="62">
        <f t="shared" si="41"/>
        <v>1207850</v>
      </c>
      <c r="CN37" s="62">
        <f t="shared" si="42"/>
        <v>1207850</v>
      </c>
      <c r="CO37" s="62">
        <f t="shared" si="43"/>
        <v>0</v>
      </c>
    </row>
    <row r="38" spans="1:93" s="26" customFormat="1" ht="15" customHeight="1">
      <c r="A38" s="36">
        <v>5</v>
      </c>
      <c r="B38" s="51"/>
      <c r="C38" s="2" t="s">
        <v>14</v>
      </c>
      <c r="D38" s="10">
        <v>21163.68</v>
      </c>
      <c r="E38" s="102">
        <v>1.055</v>
      </c>
      <c r="F38" s="10">
        <f t="shared" si="4"/>
        <v>22327.682399999998</v>
      </c>
      <c r="G38" s="11">
        <f t="shared" si="75"/>
        <v>253964.16</v>
      </c>
      <c r="H38" s="10">
        <f t="shared" si="76"/>
        <v>76697.18</v>
      </c>
      <c r="I38" s="28">
        <f t="shared" si="77"/>
        <v>330661.33999999997</v>
      </c>
      <c r="J38" s="13">
        <f t="shared" si="78"/>
        <v>89278.5618</v>
      </c>
      <c r="K38" s="10">
        <v>17570.85</v>
      </c>
      <c r="L38" s="102">
        <v>1.055</v>
      </c>
      <c r="M38" s="106">
        <v>18679</v>
      </c>
      <c r="N38" s="11">
        <f t="shared" si="79"/>
        <v>224148</v>
      </c>
      <c r="O38" s="10">
        <f t="shared" si="80"/>
        <v>67692.7</v>
      </c>
      <c r="P38" s="12">
        <f t="shared" si="81"/>
        <v>291840.7</v>
      </c>
      <c r="Q38" s="45">
        <v>2</v>
      </c>
      <c r="R38" s="10">
        <f t="shared" si="82"/>
        <v>448296</v>
      </c>
      <c r="S38" s="10">
        <f t="shared" si="83"/>
        <v>135385.39</v>
      </c>
      <c r="T38" s="44">
        <f t="shared" si="84"/>
        <v>583681.39</v>
      </c>
      <c r="U38" s="39">
        <f t="shared" si="85"/>
        <v>583681.39</v>
      </c>
      <c r="V38" s="44">
        <f>264395.19*12*1.302</f>
        <v>4130910.4485600004</v>
      </c>
      <c r="W38" s="44">
        <v>0</v>
      </c>
      <c r="X38" s="67">
        <f t="shared" si="17"/>
        <v>5095711.1003600005</v>
      </c>
      <c r="Y38" s="67"/>
      <c r="Z38" s="67"/>
      <c r="AA38" s="69"/>
      <c r="AB38" s="67"/>
      <c r="AC38" s="67">
        <v>20000</v>
      </c>
      <c r="AD38" s="67">
        <v>60750</v>
      </c>
      <c r="AE38" s="67">
        <v>27500</v>
      </c>
      <c r="AF38" s="67">
        <f>600*12</f>
        <v>7200</v>
      </c>
      <c r="AG38" s="67">
        <v>72000</v>
      </c>
      <c r="AH38" s="67">
        <f t="shared" si="86"/>
        <v>305000</v>
      </c>
      <c r="AI38" s="67">
        <v>7000</v>
      </c>
      <c r="AJ38" s="67">
        <v>700000</v>
      </c>
      <c r="AK38" s="135">
        <f t="shared" si="18"/>
        <v>6295161.1003600005</v>
      </c>
      <c r="AM38" s="82">
        <v>5</v>
      </c>
      <c r="AN38" s="36">
        <v>200</v>
      </c>
      <c r="AO38" s="36">
        <f t="shared" si="49"/>
        <v>20</v>
      </c>
      <c r="AP38" s="81">
        <f t="shared" si="44"/>
        <v>20000</v>
      </c>
      <c r="AQ38" s="36">
        <f t="shared" si="45"/>
        <v>600</v>
      </c>
      <c r="AR38" s="36">
        <f t="shared" si="46"/>
        <v>3000</v>
      </c>
      <c r="AS38" s="36">
        <v>550</v>
      </c>
      <c r="AT38" s="36">
        <v>21</v>
      </c>
      <c r="AU38" s="37">
        <f t="shared" si="47"/>
        <v>57750</v>
      </c>
      <c r="AV38" s="81">
        <f t="shared" si="48"/>
        <v>60750</v>
      </c>
      <c r="AW38" s="37"/>
      <c r="AX38" s="37"/>
      <c r="AY38" s="37" t="e">
        <f>(J38+#REF!+U38+#REF!+V38+W38)/12</f>
        <v>#REF!</v>
      </c>
      <c r="BA38" s="80">
        <f t="shared" si="19"/>
        <v>0</v>
      </c>
      <c r="BC38" s="37">
        <f t="shared" si="20"/>
        <v>0</v>
      </c>
      <c r="BD38" s="37">
        <f t="shared" si="74"/>
        <v>0</v>
      </c>
      <c r="BE38" s="37"/>
      <c r="BF38" s="37">
        <f t="shared" si="21"/>
        <v>54125</v>
      </c>
      <c r="BG38" s="37">
        <f t="shared" si="22"/>
        <v>54125</v>
      </c>
      <c r="BH38" s="37">
        <f t="shared" si="23"/>
        <v>108250</v>
      </c>
      <c r="BI38" s="37"/>
      <c r="BJ38" s="37">
        <f t="shared" si="24"/>
        <v>7200</v>
      </c>
      <c r="BK38" s="37">
        <f t="shared" si="25"/>
        <v>7200</v>
      </c>
      <c r="BL38" s="37"/>
      <c r="BM38" s="37">
        <f t="shared" si="26"/>
        <v>152500</v>
      </c>
      <c r="BN38" s="37">
        <f t="shared" si="27"/>
        <v>152500</v>
      </c>
      <c r="BO38" s="37">
        <f t="shared" si="28"/>
        <v>305000</v>
      </c>
      <c r="BP38" s="36"/>
      <c r="BQ38" s="36"/>
      <c r="BR38" s="36">
        <f t="shared" si="87"/>
        <v>36000</v>
      </c>
      <c r="BS38" s="36">
        <f t="shared" si="88"/>
        <v>36000</v>
      </c>
      <c r="BT38" s="37">
        <f t="shared" si="30"/>
        <v>700000</v>
      </c>
      <c r="BU38" s="37">
        <f t="shared" si="89"/>
        <v>772000</v>
      </c>
      <c r="BV38" s="36"/>
      <c r="BW38" s="37">
        <f t="shared" si="31"/>
        <v>7000</v>
      </c>
      <c r="BX38" s="37">
        <f t="shared" si="32"/>
        <v>7000</v>
      </c>
      <c r="CA38" s="62">
        <f t="shared" si="33"/>
        <v>0</v>
      </c>
      <c r="CB38" s="62">
        <f t="shared" si="34"/>
        <v>7200</v>
      </c>
      <c r="CC38" s="62">
        <f t="shared" si="35"/>
        <v>54125</v>
      </c>
      <c r="CD38" s="62">
        <f t="shared" si="36"/>
        <v>97125</v>
      </c>
      <c r="CE38" s="62"/>
      <c r="CF38" s="62"/>
      <c r="CG38" s="62">
        <f t="shared" si="37"/>
        <v>152500</v>
      </c>
      <c r="CH38" s="62">
        <f t="shared" si="38"/>
        <v>152500</v>
      </c>
      <c r="CI38" s="62">
        <f t="shared" si="39"/>
        <v>36000</v>
      </c>
      <c r="CJ38" s="62"/>
      <c r="CK38" s="62"/>
      <c r="CL38" s="62">
        <f t="shared" si="40"/>
        <v>700000</v>
      </c>
      <c r="CM38" s="62">
        <f t="shared" si="41"/>
        <v>1199450</v>
      </c>
      <c r="CN38" s="62">
        <f t="shared" si="42"/>
        <v>1199450</v>
      </c>
      <c r="CO38" s="62">
        <f t="shared" si="43"/>
        <v>0</v>
      </c>
    </row>
    <row r="39" spans="1:93" s="26" customFormat="1" ht="15">
      <c r="A39" s="36">
        <v>6</v>
      </c>
      <c r="B39" s="51"/>
      <c r="C39" s="2" t="s">
        <v>15</v>
      </c>
      <c r="D39" s="10">
        <v>21019.125</v>
      </c>
      <c r="E39" s="102">
        <v>1.055</v>
      </c>
      <c r="F39" s="10">
        <f t="shared" si="4"/>
        <v>22175.176874999997</v>
      </c>
      <c r="G39" s="11">
        <f t="shared" si="75"/>
        <v>252229.5</v>
      </c>
      <c r="H39" s="10">
        <f t="shared" si="76"/>
        <v>76173.31</v>
      </c>
      <c r="I39" s="28">
        <f t="shared" si="77"/>
        <v>328402.81</v>
      </c>
      <c r="J39" s="13">
        <f t="shared" si="78"/>
        <v>88668.7587</v>
      </c>
      <c r="K39" s="10">
        <v>17570.85</v>
      </c>
      <c r="L39" s="102">
        <v>1.055</v>
      </c>
      <c r="M39" s="106">
        <v>18679</v>
      </c>
      <c r="N39" s="11">
        <f t="shared" si="79"/>
        <v>224148</v>
      </c>
      <c r="O39" s="10">
        <f t="shared" si="80"/>
        <v>67692.7</v>
      </c>
      <c r="P39" s="12">
        <f t="shared" si="81"/>
        <v>291840.7</v>
      </c>
      <c r="Q39" s="45">
        <v>3</v>
      </c>
      <c r="R39" s="10">
        <f t="shared" si="82"/>
        <v>672444</v>
      </c>
      <c r="S39" s="10">
        <f t="shared" si="83"/>
        <v>203078.09</v>
      </c>
      <c r="T39" s="44">
        <f t="shared" si="84"/>
        <v>875522.09</v>
      </c>
      <c r="U39" s="39">
        <f t="shared" si="85"/>
        <v>875522.09</v>
      </c>
      <c r="V39" s="44">
        <f>497088.07*12*1.302</f>
        <v>7766504.00568</v>
      </c>
      <c r="W39" s="44">
        <v>0</v>
      </c>
      <c r="X39" s="67">
        <f t="shared" si="17"/>
        <v>9022535.55438</v>
      </c>
      <c r="Y39" s="67"/>
      <c r="Z39" s="67"/>
      <c r="AA39" s="69"/>
      <c r="AB39" s="67"/>
      <c r="AC39" s="67">
        <v>32000</v>
      </c>
      <c r="AD39" s="67">
        <v>97200</v>
      </c>
      <c r="AE39" s="67">
        <v>44000</v>
      </c>
      <c r="AF39" s="67">
        <f>600*12</f>
        <v>7200</v>
      </c>
      <c r="AG39" s="67">
        <v>72000</v>
      </c>
      <c r="AH39" s="67">
        <f t="shared" si="86"/>
        <v>305000</v>
      </c>
      <c r="AI39" s="67">
        <v>7000</v>
      </c>
      <c r="AJ39" s="67">
        <v>700000</v>
      </c>
      <c r="AK39" s="135">
        <f t="shared" si="18"/>
        <v>10286935.55438</v>
      </c>
      <c r="AM39" s="82">
        <v>8</v>
      </c>
      <c r="AN39" s="36">
        <v>200</v>
      </c>
      <c r="AO39" s="36">
        <v>20</v>
      </c>
      <c r="AP39" s="81">
        <f t="shared" si="44"/>
        <v>32000</v>
      </c>
      <c r="AQ39" s="36">
        <f t="shared" si="45"/>
        <v>600</v>
      </c>
      <c r="AR39" s="36">
        <f t="shared" si="46"/>
        <v>4800</v>
      </c>
      <c r="AS39" s="36">
        <v>550</v>
      </c>
      <c r="AT39" s="36">
        <v>21</v>
      </c>
      <c r="AU39" s="37">
        <f t="shared" si="47"/>
        <v>92400</v>
      </c>
      <c r="AV39" s="81">
        <f t="shared" si="48"/>
        <v>97200</v>
      </c>
      <c r="AW39" s="37"/>
      <c r="AX39" s="37"/>
      <c r="AY39" s="37" t="e">
        <f>(J39+#REF!+U39+#REF!+V39+W39)/12</f>
        <v>#REF!</v>
      </c>
      <c r="BA39" s="80">
        <f t="shared" si="19"/>
        <v>0</v>
      </c>
      <c r="BC39" s="37">
        <f t="shared" si="20"/>
        <v>0</v>
      </c>
      <c r="BD39" s="37">
        <f t="shared" si="74"/>
        <v>0</v>
      </c>
      <c r="BE39" s="37"/>
      <c r="BF39" s="37">
        <f t="shared" si="21"/>
        <v>86600</v>
      </c>
      <c r="BG39" s="37">
        <f t="shared" si="22"/>
        <v>86600</v>
      </c>
      <c r="BH39" s="37">
        <f t="shared" si="23"/>
        <v>173200</v>
      </c>
      <c r="BI39" s="37"/>
      <c r="BJ39" s="37">
        <f t="shared" si="24"/>
        <v>7200</v>
      </c>
      <c r="BK39" s="37">
        <f t="shared" si="25"/>
        <v>7200</v>
      </c>
      <c r="BL39" s="37"/>
      <c r="BM39" s="37">
        <f t="shared" si="26"/>
        <v>152500</v>
      </c>
      <c r="BN39" s="37">
        <f t="shared" si="27"/>
        <v>152500</v>
      </c>
      <c r="BO39" s="37">
        <f t="shared" si="28"/>
        <v>305000</v>
      </c>
      <c r="BP39" s="36"/>
      <c r="BQ39" s="36"/>
      <c r="BR39" s="36">
        <f t="shared" si="87"/>
        <v>36000</v>
      </c>
      <c r="BS39" s="36">
        <f t="shared" si="88"/>
        <v>36000</v>
      </c>
      <c r="BT39" s="37">
        <f t="shared" si="30"/>
        <v>700000</v>
      </c>
      <c r="BU39" s="37">
        <f t="shared" si="89"/>
        <v>772000</v>
      </c>
      <c r="BV39" s="36"/>
      <c r="BW39" s="37">
        <f t="shared" si="31"/>
        <v>7000</v>
      </c>
      <c r="BX39" s="37">
        <f t="shared" si="32"/>
        <v>7000</v>
      </c>
      <c r="CA39" s="62">
        <f t="shared" si="33"/>
        <v>0</v>
      </c>
      <c r="CB39" s="62">
        <f t="shared" si="34"/>
        <v>7200</v>
      </c>
      <c r="CC39" s="62">
        <f t="shared" si="35"/>
        <v>86600</v>
      </c>
      <c r="CD39" s="62">
        <f t="shared" si="36"/>
        <v>129600</v>
      </c>
      <c r="CE39" s="62"/>
      <c r="CF39" s="62"/>
      <c r="CG39" s="62">
        <f t="shared" si="37"/>
        <v>152500</v>
      </c>
      <c r="CH39" s="62">
        <f t="shared" si="38"/>
        <v>152500</v>
      </c>
      <c r="CI39" s="62">
        <f t="shared" si="39"/>
        <v>36000</v>
      </c>
      <c r="CJ39" s="62"/>
      <c r="CK39" s="62"/>
      <c r="CL39" s="62">
        <f t="shared" si="40"/>
        <v>700000</v>
      </c>
      <c r="CM39" s="62">
        <f t="shared" si="41"/>
        <v>1264400</v>
      </c>
      <c r="CN39" s="62">
        <f t="shared" si="42"/>
        <v>1264400</v>
      </c>
      <c r="CO39" s="62">
        <f t="shared" si="43"/>
        <v>0</v>
      </c>
    </row>
    <row r="40" spans="1:93" s="26" customFormat="1" ht="15" customHeight="1">
      <c r="A40" s="36">
        <v>7</v>
      </c>
      <c r="B40" s="51"/>
      <c r="C40" s="2" t="s">
        <v>16</v>
      </c>
      <c r="D40" s="10">
        <v>26849.28</v>
      </c>
      <c r="E40" s="102">
        <v>1.055</v>
      </c>
      <c r="F40" s="10">
        <f t="shared" si="4"/>
        <v>28325.9904</v>
      </c>
      <c r="G40" s="11">
        <f t="shared" si="75"/>
        <v>322191.36</v>
      </c>
      <c r="H40" s="10">
        <f t="shared" si="76"/>
        <v>97301.79</v>
      </c>
      <c r="I40" s="28">
        <f t="shared" si="77"/>
        <v>419493.14999999997</v>
      </c>
      <c r="J40" s="13">
        <f t="shared" si="78"/>
        <v>113263.1505</v>
      </c>
      <c r="K40" s="10">
        <v>47990.62</v>
      </c>
      <c r="L40" s="102">
        <v>1.055</v>
      </c>
      <c r="M40" s="106">
        <v>51367.25</v>
      </c>
      <c r="N40" s="11">
        <f t="shared" si="79"/>
        <v>616407</v>
      </c>
      <c r="O40" s="10">
        <f t="shared" si="80"/>
        <v>186154.91</v>
      </c>
      <c r="P40" s="12">
        <f t="shared" si="81"/>
        <v>802561.91</v>
      </c>
      <c r="Q40" s="45">
        <v>1.35</v>
      </c>
      <c r="R40" s="10">
        <f t="shared" si="82"/>
        <v>302599.8</v>
      </c>
      <c r="S40" s="10">
        <f t="shared" si="83"/>
        <v>91385.14</v>
      </c>
      <c r="T40" s="44">
        <f t="shared" si="84"/>
        <v>393984.94</v>
      </c>
      <c r="U40" s="39">
        <f t="shared" si="85"/>
        <v>393984.94</v>
      </c>
      <c r="V40" s="44">
        <f>477654.23*12*1.302</f>
        <v>7462869.68952</v>
      </c>
      <c r="W40" s="44">
        <v>0</v>
      </c>
      <c r="X40" s="67">
        <f t="shared" si="17"/>
        <v>8772679.690019999</v>
      </c>
      <c r="Y40" s="67"/>
      <c r="Z40" s="67"/>
      <c r="AA40" s="69"/>
      <c r="AB40" s="67"/>
      <c r="AC40" s="67">
        <v>28000</v>
      </c>
      <c r="AD40" s="67">
        <v>85050</v>
      </c>
      <c r="AE40" s="67">
        <v>38500</v>
      </c>
      <c r="AF40" s="67">
        <f>600*12</f>
        <v>7200</v>
      </c>
      <c r="AG40" s="67">
        <v>72000</v>
      </c>
      <c r="AH40" s="67">
        <f t="shared" si="86"/>
        <v>305000</v>
      </c>
      <c r="AI40" s="67">
        <v>7000</v>
      </c>
      <c r="AJ40" s="67">
        <v>700000</v>
      </c>
      <c r="AK40" s="135">
        <f t="shared" si="18"/>
        <v>10015429.690019999</v>
      </c>
      <c r="AM40" s="82">
        <v>7</v>
      </c>
      <c r="AN40" s="36">
        <v>200</v>
      </c>
      <c r="AO40" s="36">
        <f t="shared" si="49"/>
        <v>20</v>
      </c>
      <c r="AP40" s="81">
        <f t="shared" si="44"/>
        <v>28000</v>
      </c>
      <c r="AQ40" s="36">
        <f t="shared" si="45"/>
        <v>600</v>
      </c>
      <c r="AR40" s="36">
        <f t="shared" si="46"/>
        <v>4200</v>
      </c>
      <c r="AS40" s="36">
        <v>550</v>
      </c>
      <c r="AT40" s="36">
        <v>21</v>
      </c>
      <c r="AU40" s="37">
        <f t="shared" si="47"/>
        <v>80850</v>
      </c>
      <c r="AV40" s="81">
        <f t="shared" si="48"/>
        <v>85050</v>
      </c>
      <c r="AW40" s="37"/>
      <c r="AX40" s="37"/>
      <c r="AY40" s="37" t="e">
        <f>(J40+#REF!+U40+#REF!+V40+W40)/12</f>
        <v>#REF!</v>
      </c>
      <c r="BA40" s="80">
        <f t="shared" si="19"/>
        <v>0</v>
      </c>
      <c r="BC40" s="37">
        <f t="shared" si="20"/>
        <v>0</v>
      </c>
      <c r="BD40" s="37">
        <f t="shared" si="74"/>
        <v>0</v>
      </c>
      <c r="BE40" s="37"/>
      <c r="BF40" s="37">
        <f t="shared" si="21"/>
        <v>75775</v>
      </c>
      <c r="BG40" s="37">
        <f t="shared" si="22"/>
        <v>75775</v>
      </c>
      <c r="BH40" s="37">
        <f t="shared" si="23"/>
        <v>151550</v>
      </c>
      <c r="BI40" s="37"/>
      <c r="BJ40" s="37">
        <f t="shared" si="24"/>
        <v>7200</v>
      </c>
      <c r="BK40" s="37">
        <f t="shared" si="25"/>
        <v>7200</v>
      </c>
      <c r="BL40" s="37"/>
      <c r="BM40" s="37">
        <f t="shared" si="26"/>
        <v>152500</v>
      </c>
      <c r="BN40" s="37">
        <f t="shared" si="27"/>
        <v>152500</v>
      </c>
      <c r="BO40" s="37">
        <f t="shared" si="28"/>
        <v>305000</v>
      </c>
      <c r="BP40" s="36"/>
      <c r="BQ40" s="36"/>
      <c r="BR40" s="36">
        <f t="shared" si="87"/>
        <v>36000</v>
      </c>
      <c r="BS40" s="36">
        <f t="shared" si="88"/>
        <v>36000</v>
      </c>
      <c r="BT40" s="37">
        <f t="shared" si="30"/>
        <v>700000</v>
      </c>
      <c r="BU40" s="37">
        <f t="shared" si="89"/>
        <v>772000</v>
      </c>
      <c r="BV40" s="36"/>
      <c r="BW40" s="37">
        <f t="shared" si="31"/>
        <v>7000</v>
      </c>
      <c r="BX40" s="37">
        <f t="shared" si="32"/>
        <v>7000</v>
      </c>
      <c r="CA40" s="62">
        <f t="shared" si="33"/>
        <v>0</v>
      </c>
      <c r="CB40" s="62">
        <f t="shared" si="34"/>
        <v>7200</v>
      </c>
      <c r="CC40" s="62">
        <f t="shared" si="35"/>
        <v>75775</v>
      </c>
      <c r="CD40" s="62">
        <f t="shared" si="36"/>
        <v>118775</v>
      </c>
      <c r="CE40" s="62"/>
      <c r="CF40" s="62"/>
      <c r="CG40" s="62">
        <f t="shared" si="37"/>
        <v>152500</v>
      </c>
      <c r="CH40" s="62">
        <f t="shared" si="38"/>
        <v>152500</v>
      </c>
      <c r="CI40" s="62">
        <f t="shared" si="39"/>
        <v>36000</v>
      </c>
      <c r="CJ40" s="62"/>
      <c r="CK40" s="62"/>
      <c r="CL40" s="62">
        <f t="shared" si="40"/>
        <v>700000</v>
      </c>
      <c r="CM40" s="62">
        <f t="shared" si="41"/>
        <v>1242750</v>
      </c>
      <c r="CN40" s="62">
        <f t="shared" si="42"/>
        <v>1242750</v>
      </c>
      <c r="CO40" s="62">
        <f t="shared" si="43"/>
        <v>0</v>
      </c>
    </row>
    <row r="41" spans="1:93" s="26" customFormat="1" ht="15" customHeight="1">
      <c r="A41" s="36">
        <v>8</v>
      </c>
      <c r="B41" s="51"/>
      <c r="C41" s="2" t="s">
        <v>41</v>
      </c>
      <c r="D41" s="10">
        <v>40711.84</v>
      </c>
      <c r="E41" s="102">
        <v>1.055</v>
      </c>
      <c r="F41" s="10">
        <f t="shared" si="4"/>
        <v>42950.9912</v>
      </c>
      <c r="G41" s="11">
        <f t="shared" si="75"/>
        <v>488542.08</v>
      </c>
      <c r="H41" s="10">
        <f t="shared" si="76"/>
        <v>147539.71</v>
      </c>
      <c r="I41" s="28">
        <f t="shared" si="77"/>
        <v>636081.79</v>
      </c>
      <c r="J41" s="13">
        <f t="shared" si="78"/>
        <v>171742.08330000003</v>
      </c>
      <c r="K41" s="10">
        <v>148857.15</v>
      </c>
      <c r="L41" s="102">
        <v>1.055</v>
      </c>
      <c r="M41" s="10">
        <f t="shared" si="9"/>
        <v>157044.29325</v>
      </c>
      <c r="N41" s="11">
        <f t="shared" si="79"/>
        <v>1884531.52</v>
      </c>
      <c r="O41" s="10">
        <f t="shared" si="80"/>
        <v>569128.52</v>
      </c>
      <c r="P41" s="12">
        <f t="shared" si="81"/>
        <v>2453660.04</v>
      </c>
      <c r="Q41" s="45">
        <v>4</v>
      </c>
      <c r="R41" s="10">
        <f t="shared" si="82"/>
        <v>896592</v>
      </c>
      <c r="S41" s="10">
        <f t="shared" si="83"/>
        <v>270770.78</v>
      </c>
      <c r="T41" s="44">
        <f t="shared" si="84"/>
        <v>1167362.78</v>
      </c>
      <c r="U41" s="39">
        <f t="shared" si="85"/>
        <v>1167362.78</v>
      </c>
      <c r="V41" s="44">
        <f>1124056.17*12*1.302</f>
        <v>17562253.60008</v>
      </c>
      <c r="W41" s="44">
        <v>0</v>
      </c>
      <c r="X41" s="67">
        <f t="shared" si="17"/>
        <v>21355018.503379997</v>
      </c>
      <c r="Y41" s="67"/>
      <c r="Z41" s="67"/>
      <c r="AA41" s="69"/>
      <c r="AB41" s="67"/>
      <c r="AC41" s="67">
        <v>60000</v>
      </c>
      <c r="AD41" s="67">
        <v>182250</v>
      </c>
      <c r="AE41" s="67">
        <v>82500</v>
      </c>
      <c r="AF41" s="67">
        <f>1100*12</f>
        <v>13200</v>
      </c>
      <c r="AG41" s="67">
        <v>72000</v>
      </c>
      <c r="AH41" s="67">
        <f t="shared" si="86"/>
        <v>305000</v>
      </c>
      <c r="AI41" s="67">
        <v>30000</v>
      </c>
      <c r="AJ41" s="67">
        <v>1000000</v>
      </c>
      <c r="AK41" s="135">
        <f t="shared" si="18"/>
        <v>23099968.503379997</v>
      </c>
      <c r="AM41" s="82">
        <v>15</v>
      </c>
      <c r="AN41" s="36">
        <v>200</v>
      </c>
      <c r="AO41" s="36">
        <f t="shared" si="49"/>
        <v>20</v>
      </c>
      <c r="AP41" s="81">
        <f t="shared" si="44"/>
        <v>60000</v>
      </c>
      <c r="AQ41" s="36">
        <f t="shared" si="45"/>
        <v>600</v>
      </c>
      <c r="AR41" s="36">
        <f t="shared" si="46"/>
        <v>9000</v>
      </c>
      <c r="AS41" s="36">
        <v>550</v>
      </c>
      <c r="AT41" s="36">
        <v>21</v>
      </c>
      <c r="AU41" s="37">
        <f t="shared" si="47"/>
        <v>173250</v>
      </c>
      <c r="AV41" s="81">
        <f t="shared" si="48"/>
        <v>182250</v>
      </c>
      <c r="AW41" s="37"/>
      <c r="AX41" s="37"/>
      <c r="AY41" s="37" t="e">
        <f>(J41+#REF!+U41+#REF!+V41+W41)/12</f>
        <v>#REF!</v>
      </c>
      <c r="BA41" s="80">
        <f t="shared" si="19"/>
        <v>0</v>
      </c>
      <c r="BC41" s="37">
        <f t="shared" si="20"/>
        <v>0</v>
      </c>
      <c r="BD41" s="37">
        <f t="shared" si="74"/>
        <v>0</v>
      </c>
      <c r="BE41" s="37"/>
      <c r="BF41" s="37">
        <f t="shared" si="21"/>
        <v>162375</v>
      </c>
      <c r="BG41" s="37">
        <f t="shared" si="22"/>
        <v>162375</v>
      </c>
      <c r="BH41" s="37">
        <f t="shared" si="23"/>
        <v>324750</v>
      </c>
      <c r="BI41" s="37"/>
      <c r="BJ41" s="37">
        <f t="shared" si="24"/>
        <v>13200</v>
      </c>
      <c r="BK41" s="37">
        <f t="shared" si="25"/>
        <v>13200</v>
      </c>
      <c r="BL41" s="37"/>
      <c r="BM41" s="37">
        <f t="shared" si="26"/>
        <v>152500</v>
      </c>
      <c r="BN41" s="37">
        <f t="shared" si="27"/>
        <v>152500</v>
      </c>
      <c r="BO41" s="37">
        <f t="shared" si="28"/>
        <v>305000</v>
      </c>
      <c r="BP41" s="36"/>
      <c r="BQ41" s="36"/>
      <c r="BR41" s="36">
        <f t="shared" si="87"/>
        <v>36000</v>
      </c>
      <c r="BS41" s="36">
        <f t="shared" si="88"/>
        <v>36000</v>
      </c>
      <c r="BT41" s="37">
        <f t="shared" si="30"/>
        <v>1000000</v>
      </c>
      <c r="BU41" s="37">
        <f t="shared" si="89"/>
        <v>1072000</v>
      </c>
      <c r="BV41" s="36"/>
      <c r="BW41" s="37">
        <f t="shared" si="31"/>
        <v>30000</v>
      </c>
      <c r="BX41" s="37">
        <f t="shared" si="32"/>
        <v>30000</v>
      </c>
      <c r="CA41" s="62">
        <f t="shared" si="33"/>
        <v>0</v>
      </c>
      <c r="CB41" s="62">
        <f t="shared" si="34"/>
        <v>13200</v>
      </c>
      <c r="CC41" s="62">
        <f t="shared" si="35"/>
        <v>162375</v>
      </c>
      <c r="CD41" s="62">
        <f t="shared" si="36"/>
        <v>228375</v>
      </c>
      <c r="CE41" s="62"/>
      <c r="CF41" s="62"/>
      <c r="CG41" s="62">
        <f t="shared" si="37"/>
        <v>152500</v>
      </c>
      <c r="CH41" s="62">
        <f t="shared" si="38"/>
        <v>152500</v>
      </c>
      <c r="CI41" s="62">
        <f t="shared" si="39"/>
        <v>36000</v>
      </c>
      <c r="CJ41" s="62"/>
      <c r="CK41" s="62"/>
      <c r="CL41" s="62">
        <f t="shared" si="40"/>
        <v>1000000</v>
      </c>
      <c r="CM41" s="62">
        <f t="shared" si="41"/>
        <v>1744950</v>
      </c>
      <c r="CN41" s="62">
        <f t="shared" si="42"/>
        <v>1744950</v>
      </c>
      <c r="CO41" s="62">
        <f t="shared" si="43"/>
        <v>0</v>
      </c>
    </row>
    <row r="42" spans="1:93" s="26" customFormat="1" ht="15">
      <c r="A42" s="36">
        <v>9</v>
      </c>
      <c r="B42" s="51"/>
      <c r="C42" s="2" t="s">
        <v>42</v>
      </c>
      <c r="D42" s="10">
        <v>40776.24</v>
      </c>
      <c r="E42" s="102">
        <v>1.055</v>
      </c>
      <c r="F42" s="10">
        <f t="shared" si="4"/>
        <v>43018.93319999999</v>
      </c>
      <c r="G42" s="11">
        <f t="shared" si="75"/>
        <v>489314.88</v>
      </c>
      <c r="H42" s="10">
        <f t="shared" si="76"/>
        <v>147773.09</v>
      </c>
      <c r="I42" s="28">
        <f t="shared" si="77"/>
        <v>637087.97</v>
      </c>
      <c r="J42" s="13">
        <f t="shared" si="78"/>
        <v>172013.7519</v>
      </c>
      <c r="K42" s="10">
        <v>142467.52</v>
      </c>
      <c r="L42" s="102">
        <v>1.055</v>
      </c>
      <c r="M42" s="10">
        <f t="shared" si="9"/>
        <v>150303.23359999998</v>
      </c>
      <c r="N42" s="11">
        <f t="shared" si="79"/>
        <v>1803638.8</v>
      </c>
      <c r="O42" s="10">
        <f t="shared" si="80"/>
        <v>544698.92</v>
      </c>
      <c r="P42" s="12">
        <f t="shared" si="81"/>
        <v>2348337.72</v>
      </c>
      <c r="Q42" s="45">
        <v>5.5</v>
      </c>
      <c r="R42" s="10">
        <f t="shared" si="82"/>
        <v>1232814</v>
      </c>
      <c r="S42" s="10">
        <f t="shared" si="83"/>
        <v>372309.83</v>
      </c>
      <c r="T42" s="44">
        <f t="shared" si="84"/>
        <v>1605123.83</v>
      </c>
      <c r="U42" s="39">
        <f t="shared" si="85"/>
        <v>1605123.83</v>
      </c>
      <c r="V42" s="44">
        <f>1236424.59*12*1.302</f>
        <v>19317897.794160005</v>
      </c>
      <c r="W42" s="44">
        <v>0</v>
      </c>
      <c r="X42" s="67">
        <f t="shared" si="17"/>
        <v>23443373.096060004</v>
      </c>
      <c r="Y42" s="67"/>
      <c r="Z42" s="67"/>
      <c r="AA42" s="69"/>
      <c r="AB42" s="67"/>
      <c r="AC42" s="67">
        <v>72000</v>
      </c>
      <c r="AD42" s="67">
        <v>218700</v>
      </c>
      <c r="AE42" s="67">
        <v>99000</v>
      </c>
      <c r="AF42" s="67">
        <f>800*12</f>
        <v>9600</v>
      </c>
      <c r="AG42" s="67">
        <v>72000</v>
      </c>
      <c r="AH42" s="67">
        <f t="shared" si="86"/>
        <v>305000</v>
      </c>
      <c r="AI42" s="67">
        <v>30000</v>
      </c>
      <c r="AJ42" s="67">
        <v>1000000</v>
      </c>
      <c r="AK42" s="135">
        <f t="shared" si="18"/>
        <v>25249673.096060004</v>
      </c>
      <c r="AM42" s="82">
        <v>18</v>
      </c>
      <c r="AN42" s="36">
        <v>200</v>
      </c>
      <c r="AO42" s="36">
        <f t="shared" si="49"/>
        <v>20</v>
      </c>
      <c r="AP42" s="81">
        <f t="shared" si="44"/>
        <v>72000</v>
      </c>
      <c r="AQ42" s="36">
        <f t="shared" si="45"/>
        <v>600</v>
      </c>
      <c r="AR42" s="36">
        <f t="shared" si="46"/>
        <v>10800</v>
      </c>
      <c r="AS42" s="36">
        <v>550</v>
      </c>
      <c r="AT42" s="36">
        <v>21</v>
      </c>
      <c r="AU42" s="37">
        <f t="shared" si="47"/>
        <v>207900</v>
      </c>
      <c r="AV42" s="81">
        <f t="shared" si="48"/>
        <v>218700</v>
      </c>
      <c r="AW42" s="37"/>
      <c r="AX42" s="37"/>
      <c r="AY42" s="37" t="e">
        <f>(J42+#REF!+U42+#REF!+V42+W42)/12</f>
        <v>#REF!</v>
      </c>
      <c r="BA42" s="80">
        <f t="shared" si="19"/>
        <v>0</v>
      </c>
      <c r="BC42" s="37">
        <f t="shared" si="20"/>
        <v>0</v>
      </c>
      <c r="BD42" s="37">
        <f t="shared" si="74"/>
        <v>0</v>
      </c>
      <c r="BE42" s="37"/>
      <c r="BF42" s="37">
        <f t="shared" si="21"/>
        <v>194850</v>
      </c>
      <c r="BG42" s="37">
        <f t="shared" si="22"/>
        <v>194850</v>
      </c>
      <c r="BH42" s="37">
        <f t="shared" si="23"/>
        <v>389700</v>
      </c>
      <c r="BI42" s="37"/>
      <c r="BJ42" s="37">
        <f t="shared" si="24"/>
        <v>9600</v>
      </c>
      <c r="BK42" s="37">
        <f t="shared" si="25"/>
        <v>9600</v>
      </c>
      <c r="BL42" s="37"/>
      <c r="BM42" s="37">
        <f t="shared" si="26"/>
        <v>152500</v>
      </c>
      <c r="BN42" s="37">
        <f t="shared" si="27"/>
        <v>152500</v>
      </c>
      <c r="BO42" s="37">
        <f t="shared" si="28"/>
        <v>305000</v>
      </c>
      <c r="BP42" s="36"/>
      <c r="BQ42" s="36"/>
      <c r="BR42" s="36">
        <f t="shared" si="87"/>
        <v>36000</v>
      </c>
      <c r="BS42" s="36">
        <f t="shared" si="88"/>
        <v>36000</v>
      </c>
      <c r="BT42" s="37">
        <f t="shared" si="30"/>
        <v>1000000</v>
      </c>
      <c r="BU42" s="37">
        <f t="shared" si="89"/>
        <v>1072000</v>
      </c>
      <c r="BV42" s="36"/>
      <c r="BW42" s="37">
        <f t="shared" si="31"/>
        <v>30000</v>
      </c>
      <c r="BX42" s="37">
        <f t="shared" si="32"/>
        <v>30000</v>
      </c>
      <c r="CA42" s="62">
        <f t="shared" si="33"/>
        <v>0</v>
      </c>
      <c r="CB42" s="62">
        <f t="shared" si="34"/>
        <v>9600</v>
      </c>
      <c r="CC42" s="62">
        <f t="shared" si="35"/>
        <v>194850</v>
      </c>
      <c r="CD42" s="62">
        <f t="shared" si="36"/>
        <v>260850</v>
      </c>
      <c r="CE42" s="62"/>
      <c r="CF42" s="62"/>
      <c r="CG42" s="62">
        <f t="shared" si="37"/>
        <v>152500</v>
      </c>
      <c r="CH42" s="62">
        <f t="shared" si="38"/>
        <v>152500</v>
      </c>
      <c r="CI42" s="62">
        <f t="shared" si="39"/>
        <v>36000</v>
      </c>
      <c r="CJ42" s="62"/>
      <c r="CK42" s="62"/>
      <c r="CL42" s="62">
        <f t="shared" si="40"/>
        <v>1000000</v>
      </c>
      <c r="CM42" s="62">
        <f t="shared" si="41"/>
        <v>1806300</v>
      </c>
      <c r="CN42" s="62">
        <f t="shared" si="42"/>
        <v>1806300</v>
      </c>
      <c r="CO42" s="62">
        <f t="shared" si="43"/>
        <v>0</v>
      </c>
    </row>
    <row r="43" spans="1:93" s="26" customFormat="1" ht="15" customHeight="1">
      <c r="A43" s="36">
        <v>10</v>
      </c>
      <c r="B43" s="51"/>
      <c r="C43" s="2" t="s">
        <v>17</v>
      </c>
      <c r="D43" s="10">
        <v>41613.44</v>
      </c>
      <c r="E43" s="102">
        <v>1.055</v>
      </c>
      <c r="F43" s="10">
        <f t="shared" si="4"/>
        <v>43902.1792</v>
      </c>
      <c r="G43" s="11">
        <f t="shared" si="75"/>
        <v>499361.28</v>
      </c>
      <c r="H43" s="10">
        <f t="shared" si="76"/>
        <v>150807.11</v>
      </c>
      <c r="I43" s="28">
        <f t="shared" si="77"/>
        <v>650168.39</v>
      </c>
      <c r="J43" s="13">
        <f t="shared" si="78"/>
        <v>175545.4653</v>
      </c>
      <c r="K43" s="10">
        <v>120033.56</v>
      </c>
      <c r="L43" s="102">
        <v>1.055</v>
      </c>
      <c r="M43" s="10">
        <f t="shared" si="9"/>
        <v>126635.4058</v>
      </c>
      <c r="N43" s="11">
        <f t="shared" si="79"/>
        <v>1519624.87</v>
      </c>
      <c r="O43" s="10">
        <f t="shared" si="80"/>
        <v>458926.71</v>
      </c>
      <c r="P43" s="12">
        <f t="shared" si="81"/>
        <v>1978551.58</v>
      </c>
      <c r="Q43" s="45">
        <v>3.5</v>
      </c>
      <c r="R43" s="10">
        <f t="shared" si="82"/>
        <v>784518</v>
      </c>
      <c r="S43" s="10">
        <f t="shared" si="83"/>
        <v>236924.44</v>
      </c>
      <c r="T43" s="44">
        <f t="shared" si="84"/>
        <v>1021442.44</v>
      </c>
      <c r="U43" s="39">
        <f t="shared" si="85"/>
        <v>1021442.44</v>
      </c>
      <c r="V43" s="44">
        <f>1135643.18*12*1.302</f>
        <v>17743289.044320002</v>
      </c>
      <c r="W43" s="44">
        <v>0</v>
      </c>
      <c r="X43" s="67">
        <f t="shared" si="17"/>
        <v>20918828.52962</v>
      </c>
      <c r="Y43" s="67"/>
      <c r="Z43" s="67"/>
      <c r="AA43" s="69"/>
      <c r="AB43" s="67"/>
      <c r="AC43" s="67">
        <v>68000</v>
      </c>
      <c r="AD43" s="67">
        <v>206550</v>
      </c>
      <c r="AE43" s="67">
        <v>93500</v>
      </c>
      <c r="AF43" s="67">
        <f>1100*12</f>
        <v>13200</v>
      </c>
      <c r="AG43" s="67">
        <v>72000</v>
      </c>
      <c r="AH43" s="67">
        <f>160000+135000+10000</f>
        <v>305000</v>
      </c>
      <c r="AI43" s="67">
        <f>30000+15000</f>
        <v>45000</v>
      </c>
      <c r="AJ43" s="67">
        <v>1000000</v>
      </c>
      <c r="AK43" s="135">
        <f t="shared" si="18"/>
        <v>22722078.52962</v>
      </c>
      <c r="AM43" s="82">
        <v>17</v>
      </c>
      <c r="AN43" s="36">
        <v>200</v>
      </c>
      <c r="AO43" s="36">
        <f t="shared" si="49"/>
        <v>20</v>
      </c>
      <c r="AP43" s="81">
        <f t="shared" si="44"/>
        <v>68000</v>
      </c>
      <c r="AQ43" s="36">
        <f t="shared" si="45"/>
        <v>600</v>
      </c>
      <c r="AR43" s="36">
        <f t="shared" si="46"/>
        <v>10200</v>
      </c>
      <c r="AS43" s="36">
        <v>550</v>
      </c>
      <c r="AT43" s="36">
        <v>21</v>
      </c>
      <c r="AU43" s="37">
        <f t="shared" si="47"/>
        <v>196350</v>
      </c>
      <c r="AV43" s="81">
        <f t="shared" si="48"/>
        <v>206550</v>
      </c>
      <c r="AW43" s="37"/>
      <c r="AX43" s="37"/>
      <c r="AY43" s="37" t="e">
        <f>(J43+#REF!+U43+#REF!+V43+W43)/12</f>
        <v>#REF!</v>
      </c>
      <c r="BA43" s="80">
        <f t="shared" si="19"/>
        <v>0</v>
      </c>
      <c r="BC43" s="37">
        <f t="shared" si="20"/>
        <v>0</v>
      </c>
      <c r="BD43" s="37">
        <f t="shared" si="74"/>
        <v>0</v>
      </c>
      <c r="BE43" s="37"/>
      <c r="BF43" s="37">
        <f t="shared" si="21"/>
        <v>184025</v>
      </c>
      <c r="BG43" s="37">
        <f t="shared" si="22"/>
        <v>184025</v>
      </c>
      <c r="BH43" s="37">
        <f t="shared" si="23"/>
        <v>368050</v>
      </c>
      <c r="BI43" s="37"/>
      <c r="BJ43" s="37">
        <f t="shared" si="24"/>
        <v>13200</v>
      </c>
      <c r="BK43" s="37">
        <f t="shared" si="25"/>
        <v>13200</v>
      </c>
      <c r="BL43" s="37"/>
      <c r="BM43" s="37">
        <f t="shared" si="26"/>
        <v>152500</v>
      </c>
      <c r="BN43" s="37">
        <f t="shared" si="27"/>
        <v>152500</v>
      </c>
      <c r="BO43" s="37">
        <f t="shared" si="28"/>
        <v>305000</v>
      </c>
      <c r="BP43" s="36"/>
      <c r="BQ43" s="36"/>
      <c r="BR43" s="36">
        <f t="shared" si="87"/>
        <v>36000</v>
      </c>
      <c r="BS43" s="36">
        <f t="shared" si="88"/>
        <v>36000</v>
      </c>
      <c r="BT43" s="37">
        <f t="shared" si="30"/>
        <v>1000000</v>
      </c>
      <c r="BU43" s="37">
        <f t="shared" si="89"/>
        <v>1072000</v>
      </c>
      <c r="BV43" s="36"/>
      <c r="BW43" s="37">
        <f t="shared" si="31"/>
        <v>45000</v>
      </c>
      <c r="BX43" s="37">
        <f t="shared" si="32"/>
        <v>45000</v>
      </c>
      <c r="CA43" s="62">
        <f t="shared" si="33"/>
        <v>0</v>
      </c>
      <c r="CB43" s="62">
        <f t="shared" si="34"/>
        <v>13200</v>
      </c>
      <c r="CC43" s="62">
        <f t="shared" si="35"/>
        <v>184025</v>
      </c>
      <c r="CD43" s="62">
        <f t="shared" si="36"/>
        <v>265025</v>
      </c>
      <c r="CE43" s="62"/>
      <c r="CF43" s="62"/>
      <c r="CG43" s="62">
        <f t="shared" si="37"/>
        <v>152500</v>
      </c>
      <c r="CH43" s="62">
        <f t="shared" si="38"/>
        <v>152500</v>
      </c>
      <c r="CI43" s="62">
        <f t="shared" si="39"/>
        <v>36000</v>
      </c>
      <c r="CJ43" s="62"/>
      <c r="CK43" s="62"/>
      <c r="CL43" s="62">
        <f t="shared" si="40"/>
        <v>1000000</v>
      </c>
      <c r="CM43" s="62">
        <f t="shared" si="41"/>
        <v>1803250</v>
      </c>
      <c r="CN43" s="62">
        <f t="shared" si="42"/>
        <v>1803250</v>
      </c>
      <c r="CO43" s="62">
        <f t="shared" si="43"/>
        <v>0</v>
      </c>
    </row>
    <row r="44" spans="1:93" s="26" customFormat="1" ht="15" customHeight="1">
      <c r="A44" s="36">
        <v>11</v>
      </c>
      <c r="B44" s="51"/>
      <c r="C44" s="2" t="s">
        <v>18</v>
      </c>
      <c r="D44" s="10">
        <v>47245.3925</v>
      </c>
      <c r="E44" s="102">
        <v>1.055</v>
      </c>
      <c r="F44" s="10">
        <f t="shared" si="4"/>
        <v>49843.8890875</v>
      </c>
      <c r="G44" s="11">
        <f t="shared" si="75"/>
        <v>566944.71</v>
      </c>
      <c r="H44" s="10">
        <f t="shared" si="76"/>
        <v>171217.3</v>
      </c>
      <c r="I44" s="28">
        <f t="shared" si="77"/>
        <v>738162.01</v>
      </c>
      <c r="J44" s="13">
        <f t="shared" si="78"/>
        <v>199303.7427</v>
      </c>
      <c r="K44" s="10">
        <v>124499.12</v>
      </c>
      <c r="L44" s="102">
        <v>1.055</v>
      </c>
      <c r="M44" s="10">
        <f t="shared" si="9"/>
        <v>131346.5716</v>
      </c>
      <c r="N44" s="11">
        <f t="shared" si="79"/>
        <v>1576158.86</v>
      </c>
      <c r="O44" s="10">
        <f t="shared" si="80"/>
        <v>475999.98</v>
      </c>
      <c r="P44" s="12">
        <f t="shared" si="81"/>
        <v>2052158.84</v>
      </c>
      <c r="Q44" s="45">
        <v>3.5</v>
      </c>
      <c r="R44" s="10">
        <f t="shared" si="82"/>
        <v>784518</v>
      </c>
      <c r="S44" s="10">
        <f t="shared" si="83"/>
        <v>236924.44</v>
      </c>
      <c r="T44" s="44">
        <f t="shared" si="84"/>
        <v>1021442.44</v>
      </c>
      <c r="U44" s="39">
        <f t="shared" si="85"/>
        <v>1021442.44</v>
      </c>
      <c r="V44" s="44">
        <f>1098693.45*12*1.302</f>
        <v>17165986.4628</v>
      </c>
      <c r="W44" s="44">
        <v>0</v>
      </c>
      <c r="X44" s="67">
        <f t="shared" si="17"/>
        <v>20438891.4855</v>
      </c>
      <c r="Y44" s="67"/>
      <c r="Z44" s="67"/>
      <c r="AA44" s="69"/>
      <c r="AB44" s="67"/>
      <c r="AC44" s="67">
        <v>60000</v>
      </c>
      <c r="AD44" s="67">
        <v>182250</v>
      </c>
      <c r="AE44" s="67">
        <v>82500</v>
      </c>
      <c r="AF44" s="67">
        <f aca="true" t="shared" si="90" ref="AF44:AF66">600*12</f>
        <v>7200</v>
      </c>
      <c r="AG44" s="67">
        <v>72000</v>
      </c>
      <c r="AH44" s="67">
        <f t="shared" si="86"/>
        <v>305000</v>
      </c>
      <c r="AI44" s="67">
        <v>30000</v>
      </c>
      <c r="AJ44" s="67">
        <v>1000000</v>
      </c>
      <c r="AK44" s="135">
        <f t="shared" si="18"/>
        <v>22177841.4855</v>
      </c>
      <c r="AM44" s="82">
        <v>15</v>
      </c>
      <c r="AN44" s="36">
        <v>200</v>
      </c>
      <c r="AO44" s="36">
        <f t="shared" si="49"/>
        <v>20</v>
      </c>
      <c r="AP44" s="81">
        <f t="shared" si="44"/>
        <v>60000</v>
      </c>
      <c r="AQ44" s="36">
        <f t="shared" si="45"/>
        <v>600</v>
      </c>
      <c r="AR44" s="36">
        <f t="shared" si="46"/>
        <v>9000</v>
      </c>
      <c r="AS44" s="36">
        <v>550</v>
      </c>
      <c r="AT44" s="36">
        <v>21</v>
      </c>
      <c r="AU44" s="37">
        <f t="shared" si="47"/>
        <v>173250</v>
      </c>
      <c r="AV44" s="81">
        <f t="shared" si="48"/>
        <v>182250</v>
      </c>
      <c r="AW44" s="37"/>
      <c r="AX44" s="37"/>
      <c r="AY44" s="37" t="e">
        <f>(J44+#REF!+U44+#REF!+V44+W44)/12</f>
        <v>#REF!</v>
      </c>
      <c r="BA44" s="80">
        <f t="shared" si="19"/>
        <v>0</v>
      </c>
      <c r="BC44" s="37">
        <f t="shared" si="20"/>
        <v>0</v>
      </c>
      <c r="BD44" s="37">
        <f t="shared" si="74"/>
        <v>0</v>
      </c>
      <c r="BE44" s="37"/>
      <c r="BF44" s="37">
        <f t="shared" si="21"/>
        <v>162375</v>
      </c>
      <c r="BG44" s="37">
        <f t="shared" si="22"/>
        <v>162375</v>
      </c>
      <c r="BH44" s="37">
        <f t="shared" si="23"/>
        <v>324750</v>
      </c>
      <c r="BI44" s="37"/>
      <c r="BJ44" s="37">
        <f t="shared" si="24"/>
        <v>7200</v>
      </c>
      <c r="BK44" s="37">
        <f t="shared" si="25"/>
        <v>7200</v>
      </c>
      <c r="BL44" s="37"/>
      <c r="BM44" s="37">
        <f t="shared" si="26"/>
        <v>152500</v>
      </c>
      <c r="BN44" s="37">
        <f t="shared" si="27"/>
        <v>152500</v>
      </c>
      <c r="BO44" s="37">
        <f t="shared" si="28"/>
        <v>305000</v>
      </c>
      <c r="BP44" s="36"/>
      <c r="BQ44" s="36"/>
      <c r="BR44" s="36">
        <f t="shared" si="87"/>
        <v>36000</v>
      </c>
      <c r="BS44" s="36">
        <f t="shared" si="88"/>
        <v>36000</v>
      </c>
      <c r="BT44" s="37">
        <f t="shared" si="30"/>
        <v>1000000</v>
      </c>
      <c r="BU44" s="37">
        <f t="shared" si="89"/>
        <v>1072000</v>
      </c>
      <c r="BV44" s="36"/>
      <c r="BW44" s="37">
        <f t="shared" si="31"/>
        <v>30000</v>
      </c>
      <c r="BX44" s="37">
        <f t="shared" si="32"/>
        <v>30000</v>
      </c>
      <c r="CA44" s="62">
        <f t="shared" si="33"/>
        <v>0</v>
      </c>
      <c r="CB44" s="62">
        <f t="shared" si="34"/>
        <v>7200</v>
      </c>
      <c r="CC44" s="62">
        <f t="shared" si="35"/>
        <v>162375</v>
      </c>
      <c r="CD44" s="62">
        <f t="shared" si="36"/>
        <v>228375</v>
      </c>
      <c r="CE44" s="62"/>
      <c r="CF44" s="62"/>
      <c r="CG44" s="62">
        <f t="shared" si="37"/>
        <v>152500</v>
      </c>
      <c r="CH44" s="62">
        <f t="shared" si="38"/>
        <v>152500</v>
      </c>
      <c r="CI44" s="62">
        <f t="shared" si="39"/>
        <v>36000</v>
      </c>
      <c r="CJ44" s="62"/>
      <c r="CK44" s="62"/>
      <c r="CL44" s="62">
        <f t="shared" si="40"/>
        <v>1000000</v>
      </c>
      <c r="CM44" s="62">
        <f t="shared" si="41"/>
        <v>1738950</v>
      </c>
      <c r="CN44" s="62">
        <f t="shared" si="42"/>
        <v>1738950</v>
      </c>
      <c r="CO44" s="62">
        <f t="shared" si="43"/>
        <v>0</v>
      </c>
    </row>
    <row r="45" spans="1:93" s="26" customFormat="1" ht="15">
      <c r="A45" s="36">
        <v>12</v>
      </c>
      <c r="B45" s="51"/>
      <c r="C45" s="2" t="s">
        <v>19</v>
      </c>
      <c r="D45" s="10">
        <v>22990.8</v>
      </c>
      <c r="E45" s="102">
        <v>1.055</v>
      </c>
      <c r="F45" s="10">
        <f t="shared" si="4"/>
        <v>24255.293999999998</v>
      </c>
      <c r="G45" s="11">
        <f t="shared" si="75"/>
        <v>275889.6</v>
      </c>
      <c r="H45" s="10">
        <f t="shared" si="76"/>
        <v>83318.66</v>
      </c>
      <c r="I45" s="28">
        <f t="shared" si="77"/>
        <v>359208.26</v>
      </c>
      <c r="J45" s="13">
        <f t="shared" si="78"/>
        <v>96986.2302</v>
      </c>
      <c r="K45" s="10">
        <v>17570.85</v>
      </c>
      <c r="L45" s="102">
        <v>1.055</v>
      </c>
      <c r="M45" s="106">
        <v>18679</v>
      </c>
      <c r="N45" s="11">
        <f t="shared" si="79"/>
        <v>224148</v>
      </c>
      <c r="O45" s="10">
        <f t="shared" si="80"/>
        <v>67692.7</v>
      </c>
      <c r="P45" s="12">
        <f t="shared" si="81"/>
        <v>291840.7</v>
      </c>
      <c r="Q45" s="45">
        <v>1.5</v>
      </c>
      <c r="R45" s="10">
        <f t="shared" si="82"/>
        <v>336222</v>
      </c>
      <c r="S45" s="10">
        <f t="shared" si="83"/>
        <v>101539.04</v>
      </c>
      <c r="T45" s="44">
        <f t="shared" si="84"/>
        <v>437761.04</v>
      </c>
      <c r="U45" s="39">
        <f t="shared" si="85"/>
        <v>437761.04</v>
      </c>
      <c r="V45" s="44">
        <f>384285.34*12*1.302</f>
        <v>6004074.15216</v>
      </c>
      <c r="W45" s="44">
        <v>0</v>
      </c>
      <c r="X45" s="67">
        <f t="shared" si="17"/>
        <v>6830662.12236</v>
      </c>
      <c r="Y45" s="67"/>
      <c r="Z45" s="67"/>
      <c r="AA45" s="69"/>
      <c r="AB45" s="67"/>
      <c r="AC45" s="67">
        <v>20000</v>
      </c>
      <c r="AD45" s="67">
        <v>60750</v>
      </c>
      <c r="AE45" s="67">
        <v>27500</v>
      </c>
      <c r="AF45" s="67">
        <f t="shared" si="90"/>
        <v>7200</v>
      </c>
      <c r="AG45" s="67">
        <v>72000</v>
      </c>
      <c r="AH45" s="67">
        <f t="shared" si="86"/>
        <v>305000</v>
      </c>
      <c r="AI45" s="67">
        <v>7000</v>
      </c>
      <c r="AJ45" s="67">
        <v>700000</v>
      </c>
      <c r="AK45" s="135">
        <f t="shared" si="18"/>
        <v>8030112.12236</v>
      </c>
      <c r="AM45" s="82">
        <v>5</v>
      </c>
      <c r="AN45" s="36">
        <v>200</v>
      </c>
      <c r="AO45" s="36">
        <f t="shared" si="49"/>
        <v>20</v>
      </c>
      <c r="AP45" s="81">
        <f t="shared" si="44"/>
        <v>20000</v>
      </c>
      <c r="AQ45" s="36">
        <f t="shared" si="45"/>
        <v>600</v>
      </c>
      <c r="AR45" s="36">
        <f t="shared" si="46"/>
        <v>3000</v>
      </c>
      <c r="AS45" s="36">
        <v>550</v>
      </c>
      <c r="AT45" s="36">
        <v>21</v>
      </c>
      <c r="AU45" s="37">
        <f t="shared" si="47"/>
        <v>57750</v>
      </c>
      <c r="AV45" s="81">
        <f t="shared" si="48"/>
        <v>60750</v>
      </c>
      <c r="AW45" s="37"/>
      <c r="AX45" s="37"/>
      <c r="AY45" s="37" t="e">
        <f>(J45+#REF!+U45+#REF!+V45+W45)/12</f>
        <v>#REF!</v>
      </c>
      <c r="BA45" s="80">
        <f t="shared" si="19"/>
        <v>0</v>
      </c>
      <c r="BC45" s="37">
        <f t="shared" si="20"/>
        <v>0</v>
      </c>
      <c r="BD45" s="37">
        <f t="shared" si="74"/>
        <v>0</v>
      </c>
      <c r="BE45" s="37"/>
      <c r="BF45" s="37">
        <f t="shared" si="21"/>
        <v>54125</v>
      </c>
      <c r="BG45" s="37">
        <f t="shared" si="22"/>
        <v>54125</v>
      </c>
      <c r="BH45" s="37">
        <f t="shared" si="23"/>
        <v>108250</v>
      </c>
      <c r="BI45" s="37"/>
      <c r="BJ45" s="37">
        <f t="shared" si="24"/>
        <v>7200</v>
      </c>
      <c r="BK45" s="37">
        <f t="shared" si="25"/>
        <v>7200</v>
      </c>
      <c r="BL45" s="37"/>
      <c r="BM45" s="37">
        <f t="shared" si="26"/>
        <v>152500</v>
      </c>
      <c r="BN45" s="37">
        <f t="shared" si="27"/>
        <v>152500</v>
      </c>
      <c r="BO45" s="37">
        <f t="shared" si="28"/>
        <v>305000</v>
      </c>
      <c r="BP45" s="36"/>
      <c r="BQ45" s="36"/>
      <c r="BR45" s="36">
        <f t="shared" si="87"/>
        <v>36000</v>
      </c>
      <c r="BS45" s="36">
        <f t="shared" si="88"/>
        <v>36000</v>
      </c>
      <c r="BT45" s="37">
        <f t="shared" si="30"/>
        <v>700000</v>
      </c>
      <c r="BU45" s="37">
        <f t="shared" si="89"/>
        <v>772000</v>
      </c>
      <c r="BV45" s="36"/>
      <c r="BW45" s="37">
        <f t="shared" si="31"/>
        <v>7000</v>
      </c>
      <c r="BX45" s="37">
        <f t="shared" si="32"/>
        <v>7000</v>
      </c>
      <c r="CA45" s="62">
        <f t="shared" si="33"/>
        <v>0</v>
      </c>
      <c r="CB45" s="62">
        <f t="shared" si="34"/>
        <v>7200</v>
      </c>
      <c r="CC45" s="62">
        <f t="shared" si="35"/>
        <v>54125</v>
      </c>
      <c r="CD45" s="62">
        <f t="shared" si="36"/>
        <v>97125</v>
      </c>
      <c r="CE45" s="62"/>
      <c r="CF45" s="62"/>
      <c r="CG45" s="62">
        <f t="shared" si="37"/>
        <v>152500</v>
      </c>
      <c r="CH45" s="62">
        <f t="shared" si="38"/>
        <v>152500</v>
      </c>
      <c r="CI45" s="62">
        <f t="shared" si="39"/>
        <v>36000</v>
      </c>
      <c r="CJ45" s="62"/>
      <c r="CK45" s="62"/>
      <c r="CL45" s="62">
        <f t="shared" si="40"/>
        <v>700000</v>
      </c>
      <c r="CM45" s="62">
        <f t="shared" si="41"/>
        <v>1199450</v>
      </c>
      <c r="CN45" s="62">
        <f t="shared" si="42"/>
        <v>1199450</v>
      </c>
      <c r="CO45" s="62">
        <f t="shared" si="43"/>
        <v>0</v>
      </c>
    </row>
    <row r="46" spans="1:93" s="26" customFormat="1" ht="15" customHeight="1">
      <c r="A46" s="36">
        <v>13</v>
      </c>
      <c r="B46" s="51"/>
      <c r="C46" s="2" t="s">
        <v>20</v>
      </c>
      <c r="D46" s="105">
        <f>29105.12+18141.83</f>
        <v>47246.95</v>
      </c>
      <c r="E46" s="102">
        <v>1.055</v>
      </c>
      <c r="F46" s="10">
        <f t="shared" si="4"/>
        <v>49845.53225</v>
      </c>
      <c r="G46" s="11">
        <f t="shared" si="75"/>
        <v>566963.4</v>
      </c>
      <c r="H46" s="10">
        <f t="shared" si="76"/>
        <v>171222.95</v>
      </c>
      <c r="I46" s="28">
        <f t="shared" si="77"/>
        <v>738186.3500000001</v>
      </c>
      <c r="J46" s="13">
        <f t="shared" si="78"/>
        <v>199310.31450000004</v>
      </c>
      <c r="K46" s="10">
        <v>56757.68</v>
      </c>
      <c r="L46" s="102">
        <v>1.055</v>
      </c>
      <c r="M46" s="10">
        <f t="shared" si="9"/>
        <v>59879.352399999996</v>
      </c>
      <c r="N46" s="11">
        <f t="shared" si="79"/>
        <v>718552.23</v>
      </c>
      <c r="O46" s="10">
        <f t="shared" si="80"/>
        <v>217002.77</v>
      </c>
      <c r="P46" s="12">
        <f t="shared" si="81"/>
        <v>935555</v>
      </c>
      <c r="Q46" s="45">
        <v>2.25</v>
      </c>
      <c r="R46" s="10">
        <f t="shared" si="82"/>
        <v>504333</v>
      </c>
      <c r="S46" s="10">
        <f t="shared" si="83"/>
        <v>152308.57</v>
      </c>
      <c r="T46" s="44">
        <f t="shared" si="84"/>
        <v>656641.5700000001</v>
      </c>
      <c r="U46" s="39">
        <f t="shared" si="85"/>
        <v>656641.5700000001</v>
      </c>
      <c r="V46" s="44">
        <f>479376.37*12*1.302+183529.82*12*1.302</f>
        <v>10357246.31256</v>
      </c>
      <c r="W46" s="44">
        <v>0</v>
      </c>
      <c r="X46" s="67">
        <f t="shared" si="17"/>
        <v>12148753.19706</v>
      </c>
      <c r="Y46" s="67"/>
      <c r="Z46" s="67"/>
      <c r="AA46" s="69"/>
      <c r="AB46" s="67"/>
      <c r="AC46" s="67">
        <v>44000</v>
      </c>
      <c r="AD46" s="67">
        <v>133650</v>
      </c>
      <c r="AE46" s="67">
        <v>60500</v>
      </c>
      <c r="AF46" s="67">
        <f>700*12</f>
        <v>8400</v>
      </c>
      <c r="AG46" s="67">
        <v>72000</v>
      </c>
      <c r="AH46" s="67">
        <f t="shared" si="86"/>
        <v>305000</v>
      </c>
      <c r="AI46" s="67">
        <v>7000</v>
      </c>
      <c r="AJ46" s="67">
        <v>700000</v>
      </c>
      <c r="AK46" s="135">
        <f t="shared" si="18"/>
        <v>13479303.19706</v>
      </c>
      <c r="AM46" s="82">
        <v>11</v>
      </c>
      <c r="AN46" s="36">
        <v>200</v>
      </c>
      <c r="AO46" s="36">
        <f t="shared" si="49"/>
        <v>20</v>
      </c>
      <c r="AP46" s="81">
        <f t="shared" si="44"/>
        <v>44000</v>
      </c>
      <c r="AQ46" s="36">
        <f t="shared" si="45"/>
        <v>600</v>
      </c>
      <c r="AR46" s="36">
        <f t="shared" si="46"/>
        <v>6600</v>
      </c>
      <c r="AS46" s="36">
        <v>550</v>
      </c>
      <c r="AT46" s="36">
        <v>21</v>
      </c>
      <c r="AU46" s="37">
        <f t="shared" si="47"/>
        <v>127050</v>
      </c>
      <c r="AV46" s="81">
        <f t="shared" si="48"/>
        <v>133650</v>
      </c>
      <c r="AW46" s="37"/>
      <c r="AX46" s="37"/>
      <c r="AY46" s="37" t="e">
        <f>(J46+#REF!+U46+#REF!+V46+W46)/12</f>
        <v>#REF!</v>
      </c>
      <c r="BA46" s="80">
        <f t="shared" si="19"/>
        <v>0</v>
      </c>
      <c r="BC46" s="37">
        <f t="shared" si="20"/>
        <v>0</v>
      </c>
      <c r="BD46" s="37">
        <f t="shared" si="74"/>
        <v>0</v>
      </c>
      <c r="BE46" s="37"/>
      <c r="BF46" s="37">
        <f t="shared" si="21"/>
        <v>119075</v>
      </c>
      <c r="BG46" s="37">
        <f t="shared" si="22"/>
        <v>119075</v>
      </c>
      <c r="BH46" s="37">
        <f t="shared" si="23"/>
        <v>238150</v>
      </c>
      <c r="BI46" s="37"/>
      <c r="BJ46" s="37">
        <f t="shared" si="24"/>
        <v>8400</v>
      </c>
      <c r="BK46" s="37">
        <f t="shared" si="25"/>
        <v>8400</v>
      </c>
      <c r="BL46" s="37"/>
      <c r="BM46" s="37">
        <f t="shared" si="26"/>
        <v>152500</v>
      </c>
      <c r="BN46" s="37">
        <f t="shared" si="27"/>
        <v>152500</v>
      </c>
      <c r="BO46" s="37">
        <f t="shared" si="28"/>
        <v>305000</v>
      </c>
      <c r="BP46" s="36"/>
      <c r="BQ46" s="36"/>
      <c r="BR46" s="36">
        <f t="shared" si="87"/>
        <v>36000</v>
      </c>
      <c r="BS46" s="36">
        <f t="shared" si="88"/>
        <v>36000</v>
      </c>
      <c r="BT46" s="37">
        <f t="shared" si="30"/>
        <v>700000</v>
      </c>
      <c r="BU46" s="37">
        <f t="shared" si="89"/>
        <v>772000</v>
      </c>
      <c r="BV46" s="36"/>
      <c r="BW46" s="37">
        <f t="shared" si="31"/>
        <v>7000</v>
      </c>
      <c r="BX46" s="37">
        <f t="shared" si="32"/>
        <v>7000</v>
      </c>
      <c r="CA46" s="62">
        <f t="shared" si="33"/>
        <v>0</v>
      </c>
      <c r="CB46" s="62">
        <f t="shared" si="34"/>
        <v>8400</v>
      </c>
      <c r="CC46" s="62">
        <f t="shared" si="35"/>
        <v>119075</v>
      </c>
      <c r="CD46" s="62">
        <f t="shared" si="36"/>
        <v>162075</v>
      </c>
      <c r="CE46" s="62"/>
      <c r="CF46" s="62"/>
      <c r="CG46" s="62">
        <f t="shared" si="37"/>
        <v>152500</v>
      </c>
      <c r="CH46" s="62">
        <f t="shared" si="38"/>
        <v>152500</v>
      </c>
      <c r="CI46" s="62">
        <f t="shared" si="39"/>
        <v>36000</v>
      </c>
      <c r="CJ46" s="62"/>
      <c r="CK46" s="62"/>
      <c r="CL46" s="62">
        <f t="shared" si="40"/>
        <v>700000</v>
      </c>
      <c r="CM46" s="62">
        <f t="shared" si="41"/>
        <v>1330550</v>
      </c>
      <c r="CN46" s="62">
        <f t="shared" si="42"/>
        <v>1330550</v>
      </c>
      <c r="CO46" s="62">
        <f t="shared" si="43"/>
        <v>0</v>
      </c>
    </row>
    <row r="47" spans="1:93" s="26" customFormat="1" ht="15">
      <c r="A47" s="36">
        <v>14</v>
      </c>
      <c r="B47" s="51"/>
      <c r="C47" s="2" t="s">
        <v>22</v>
      </c>
      <c r="D47" s="10">
        <v>26214.479999999996</v>
      </c>
      <c r="E47" s="102">
        <v>1.055</v>
      </c>
      <c r="F47" s="10">
        <f t="shared" si="4"/>
        <v>27656.276399999995</v>
      </c>
      <c r="G47" s="11">
        <f t="shared" si="75"/>
        <v>314573.76</v>
      </c>
      <c r="H47" s="10">
        <f t="shared" si="76"/>
        <v>95001.28</v>
      </c>
      <c r="I47" s="28">
        <f t="shared" si="77"/>
        <v>409575.04000000004</v>
      </c>
      <c r="J47" s="13">
        <f t="shared" si="78"/>
        <v>110585.26080000002</v>
      </c>
      <c r="K47" s="10">
        <v>28757.82</v>
      </c>
      <c r="L47" s="102">
        <v>1.055</v>
      </c>
      <c r="M47" s="10">
        <f t="shared" si="9"/>
        <v>30339.500099999997</v>
      </c>
      <c r="N47" s="11">
        <f t="shared" si="79"/>
        <v>364074</v>
      </c>
      <c r="O47" s="10">
        <f t="shared" si="80"/>
        <v>109950.35</v>
      </c>
      <c r="P47" s="12">
        <f t="shared" si="81"/>
        <v>474024.35</v>
      </c>
      <c r="Q47" s="45">
        <v>3.4</v>
      </c>
      <c r="R47" s="10">
        <f t="shared" si="82"/>
        <v>762103.2</v>
      </c>
      <c r="S47" s="10">
        <f t="shared" si="83"/>
        <v>230155.17</v>
      </c>
      <c r="T47" s="44">
        <f t="shared" si="84"/>
        <v>992258.37</v>
      </c>
      <c r="U47" s="39">
        <f t="shared" si="85"/>
        <v>992258.37</v>
      </c>
      <c r="V47" s="44">
        <f>401823.35*12*1.302</f>
        <v>6278088.020399999</v>
      </c>
      <c r="W47" s="44">
        <v>0</v>
      </c>
      <c r="X47" s="67">
        <f t="shared" si="17"/>
        <v>7854956.001199998</v>
      </c>
      <c r="Y47" s="67"/>
      <c r="Z47" s="67"/>
      <c r="AA47" s="69"/>
      <c r="AB47" s="67"/>
      <c r="AC47" s="67">
        <v>28000</v>
      </c>
      <c r="AD47" s="67">
        <v>85050</v>
      </c>
      <c r="AE47" s="67">
        <v>38500</v>
      </c>
      <c r="AF47" s="67">
        <f t="shared" si="90"/>
        <v>7200</v>
      </c>
      <c r="AG47" s="67">
        <v>72000</v>
      </c>
      <c r="AH47" s="67">
        <f t="shared" si="86"/>
        <v>305000</v>
      </c>
      <c r="AI47" s="67">
        <v>7000</v>
      </c>
      <c r="AJ47" s="67">
        <v>700000</v>
      </c>
      <c r="AK47" s="135">
        <f t="shared" si="18"/>
        <v>9097706.001199998</v>
      </c>
      <c r="AM47" s="82">
        <v>7</v>
      </c>
      <c r="AN47" s="36">
        <v>200</v>
      </c>
      <c r="AO47" s="36">
        <f t="shared" si="49"/>
        <v>20</v>
      </c>
      <c r="AP47" s="81">
        <f t="shared" si="44"/>
        <v>28000</v>
      </c>
      <c r="AQ47" s="36">
        <f t="shared" si="45"/>
        <v>600</v>
      </c>
      <c r="AR47" s="36">
        <f t="shared" si="46"/>
        <v>4200</v>
      </c>
      <c r="AS47" s="36">
        <v>550</v>
      </c>
      <c r="AT47" s="36">
        <v>21</v>
      </c>
      <c r="AU47" s="37">
        <f t="shared" si="47"/>
        <v>80850</v>
      </c>
      <c r="AV47" s="81">
        <f t="shared" si="48"/>
        <v>85050</v>
      </c>
      <c r="AW47" s="37"/>
      <c r="AX47" s="37"/>
      <c r="AY47" s="37" t="e">
        <f>(J47+#REF!+U47+#REF!+V47+W47)/12</f>
        <v>#REF!</v>
      </c>
      <c r="BA47" s="80">
        <f t="shared" si="19"/>
        <v>0</v>
      </c>
      <c r="BC47" s="37">
        <f t="shared" si="20"/>
        <v>0</v>
      </c>
      <c r="BD47" s="37">
        <f t="shared" si="74"/>
        <v>0</v>
      </c>
      <c r="BE47" s="37"/>
      <c r="BF47" s="37">
        <f t="shared" si="21"/>
        <v>75775</v>
      </c>
      <c r="BG47" s="37">
        <f t="shared" si="22"/>
        <v>75775</v>
      </c>
      <c r="BH47" s="37">
        <f t="shared" si="23"/>
        <v>151550</v>
      </c>
      <c r="BI47" s="37"/>
      <c r="BJ47" s="37">
        <f t="shared" si="24"/>
        <v>7200</v>
      </c>
      <c r="BK47" s="37">
        <f t="shared" si="25"/>
        <v>7200</v>
      </c>
      <c r="BL47" s="37"/>
      <c r="BM47" s="37">
        <f t="shared" si="26"/>
        <v>152500</v>
      </c>
      <c r="BN47" s="37">
        <f t="shared" si="27"/>
        <v>152500</v>
      </c>
      <c r="BO47" s="37">
        <f t="shared" si="28"/>
        <v>305000</v>
      </c>
      <c r="BP47" s="36"/>
      <c r="BQ47" s="36"/>
      <c r="BR47" s="36">
        <f t="shared" si="87"/>
        <v>36000</v>
      </c>
      <c r="BS47" s="36">
        <f t="shared" si="88"/>
        <v>36000</v>
      </c>
      <c r="BT47" s="37">
        <f t="shared" si="30"/>
        <v>700000</v>
      </c>
      <c r="BU47" s="37">
        <f t="shared" si="89"/>
        <v>772000</v>
      </c>
      <c r="BV47" s="36"/>
      <c r="BW47" s="37">
        <f t="shared" si="31"/>
        <v>7000</v>
      </c>
      <c r="BX47" s="37">
        <f t="shared" si="32"/>
        <v>7000</v>
      </c>
      <c r="CA47" s="62">
        <f t="shared" si="33"/>
        <v>0</v>
      </c>
      <c r="CB47" s="62">
        <f t="shared" si="34"/>
        <v>7200</v>
      </c>
      <c r="CC47" s="62">
        <f t="shared" si="35"/>
        <v>75775</v>
      </c>
      <c r="CD47" s="62">
        <f t="shared" si="36"/>
        <v>118775</v>
      </c>
      <c r="CE47" s="62"/>
      <c r="CF47" s="62"/>
      <c r="CG47" s="62">
        <f t="shared" si="37"/>
        <v>152500</v>
      </c>
      <c r="CH47" s="62">
        <f t="shared" si="38"/>
        <v>152500</v>
      </c>
      <c r="CI47" s="62">
        <f t="shared" si="39"/>
        <v>36000</v>
      </c>
      <c r="CJ47" s="62"/>
      <c r="CK47" s="62"/>
      <c r="CL47" s="62">
        <f t="shared" si="40"/>
        <v>700000</v>
      </c>
      <c r="CM47" s="62">
        <f t="shared" si="41"/>
        <v>1242750</v>
      </c>
      <c r="CN47" s="62">
        <f t="shared" si="42"/>
        <v>1242750</v>
      </c>
      <c r="CO47" s="62">
        <f t="shared" si="43"/>
        <v>0</v>
      </c>
    </row>
    <row r="48" spans="1:93" s="26" customFormat="1" ht="15" customHeight="1">
      <c r="A48" s="36">
        <v>15</v>
      </c>
      <c r="B48" s="51"/>
      <c r="C48" s="2" t="s">
        <v>23</v>
      </c>
      <c r="D48" s="10">
        <v>32161.4175</v>
      </c>
      <c r="E48" s="102">
        <v>1.055</v>
      </c>
      <c r="F48" s="10">
        <f t="shared" si="4"/>
        <v>33930.2954625</v>
      </c>
      <c r="G48" s="11">
        <f t="shared" si="75"/>
        <v>385937.01</v>
      </c>
      <c r="H48" s="10">
        <f t="shared" si="76"/>
        <v>116552.98</v>
      </c>
      <c r="I48" s="28">
        <f t="shared" si="77"/>
        <v>502489.99</v>
      </c>
      <c r="J48" s="13">
        <f t="shared" si="78"/>
        <v>135672.2973</v>
      </c>
      <c r="K48" s="10">
        <v>61022.91</v>
      </c>
      <c r="L48" s="102">
        <v>1.055</v>
      </c>
      <c r="M48" s="10">
        <f t="shared" si="9"/>
        <v>64379.17005</v>
      </c>
      <c r="N48" s="11">
        <f t="shared" si="79"/>
        <v>772550.04</v>
      </c>
      <c r="O48" s="10">
        <f t="shared" si="80"/>
        <v>233310.11</v>
      </c>
      <c r="P48" s="12">
        <f t="shared" si="81"/>
        <v>1005860.15</v>
      </c>
      <c r="Q48" s="45">
        <v>0.75</v>
      </c>
      <c r="R48" s="10">
        <f t="shared" si="82"/>
        <v>168111</v>
      </c>
      <c r="S48" s="10">
        <f t="shared" si="83"/>
        <v>50769.52</v>
      </c>
      <c r="T48" s="44">
        <f t="shared" si="84"/>
        <v>218880.52</v>
      </c>
      <c r="U48" s="39">
        <f t="shared" si="85"/>
        <v>218880.52</v>
      </c>
      <c r="V48" s="44">
        <f>445367.45*12*1.302</f>
        <v>6958421.038800001</v>
      </c>
      <c r="W48" s="44">
        <v>0</v>
      </c>
      <c r="X48" s="67">
        <f t="shared" si="17"/>
        <v>8318834.006100002</v>
      </c>
      <c r="Y48" s="67"/>
      <c r="Z48" s="67"/>
      <c r="AA48" s="69"/>
      <c r="AB48" s="67"/>
      <c r="AC48" s="67">
        <v>28000</v>
      </c>
      <c r="AD48" s="67">
        <v>85050</v>
      </c>
      <c r="AE48" s="67">
        <v>38500</v>
      </c>
      <c r="AF48" s="67">
        <f t="shared" si="90"/>
        <v>7200</v>
      </c>
      <c r="AG48" s="67">
        <v>72000</v>
      </c>
      <c r="AH48" s="67">
        <f t="shared" si="86"/>
        <v>305000</v>
      </c>
      <c r="AI48" s="67">
        <v>7000</v>
      </c>
      <c r="AJ48" s="67">
        <v>700000</v>
      </c>
      <c r="AK48" s="135">
        <f t="shared" si="18"/>
        <v>9561584.006100003</v>
      </c>
      <c r="AM48" s="82">
        <v>7</v>
      </c>
      <c r="AN48" s="36">
        <v>200</v>
      </c>
      <c r="AO48" s="36">
        <f t="shared" si="49"/>
        <v>20</v>
      </c>
      <c r="AP48" s="81">
        <f t="shared" si="44"/>
        <v>28000</v>
      </c>
      <c r="AQ48" s="36">
        <f t="shared" si="45"/>
        <v>600</v>
      </c>
      <c r="AR48" s="36">
        <f t="shared" si="46"/>
        <v>4200</v>
      </c>
      <c r="AS48" s="36">
        <v>550</v>
      </c>
      <c r="AT48" s="36">
        <v>21</v>
      </c>
      <c r="AU48" s="37">
        <f t="shared" si="47"/>
        <v>80850</v>
      </c>
      <c r="AV48" s="81">
        <f t="shared" si="48"/>
        <v>85050</v>
      </c>
      <c r="AW48" s="37"/>
      <c r="AX48" s="37"/>
      <c r="AY48" s="37" t="e">
        <f>(J48+#REF!+U48+#REF!+V48+W48)/12</f>
        <v>#REF!</v>
      </c>
      <c r="BA48" s="80">
        <f t="shared" si="19"/>
        <v>0</v>
      </c>
      <c r="BC48" s="37">
        <f t="shared" si="20"/>
        <v>0</v>
      </c>
      <c r="BD48" s="37">
        <f t="shared" si="74"/>
        <v>0</v>
      </c>
      <c r="BE48" s="37"/>
      <c r="BF48" s="37">
        <f t="shared" si="21"/>
        <v>75775</v>
      </c>
      <c r="BG48" s="37">
        <f t="shared" si="22"/>
        <v>75775</v>
      </c>
      <c r="BH48" s="37">
        <f t="shared" si="23"/>
        <v>151550</v>
      </c>
      <c r="BI48" s="37"/>
      <c r="BJ48" s="37">
        <f t="shared" si="24"/>
        <v>7200</v>
      </c>
      <c r="BK48" s="37">
        <f t="shared" si="25"/>
        <v>7200</v>
      </c>
      <c r="BL48" s="37"/>
      <c r="BM48" s="37">
        <f t="shared" si="26"/>
        <v>152500</v>
      </c>
      <c r="BN48" s="37">
        <f t="shared" si="27"/>
        <v>152500</v>
      </c>
      <c r="BO48" s="37">
        <f t="shared" si="28"/>
        <v>305000</v>
      </c>
      <c r="BP48" s="36"/>
      <c r="BQ48" s="36"/>
      <c r="BR48" s="36">
        <f t="shared" si="87"/>
        <v>36000</v>
      </c>
      <c r="BS48" s="36">
        <f t="shared" si="88"/>
        <v>36000</v>
      </c>
      <c r="BT48" s="37">
        <f t="shared" si="30"/>
        <v>700000</v>
      </c>
      <c r="BU48" s="37">
        <f t="shared" si="89"/>
        <v>772000</v>
      </c>
      <c r="BV48" s="36"/>
      <c r="BW48" s="37">
        <f t="shared" si="31"/>
        <v>7000</v>
      </c>
      <c r="BX48" s="37">
        <f t="shared" si="32"/>
        <v>7000</v>
      </c>
      <c r="CA48" s="62">
        <f t="shared" si="33"/>
        <v>0</v>
      </c>
      <c r="CB48" s="62">
        <f t="shared" si="34"/>
        <v>7200</v>
      </c>
      <c r="CC48" s="62">
        <f t="shared" si="35"/>
        <v>75775</v>
      </c>
      <c r="CD48" s="62">
        <f t="shared" si="36"/>
        <v>118775</v>
      </c>
      <c r="CE48" s="62"/>
      <c r="CF48" s="62"/>
      <c r="CG48" s="62">
        <f t="shared" si="37"/>
        <v>152500</v>
      </c>
      <c r="CH48" s="62">
        <f t="shared" si="38"/>
        <v>152500</v>
      </c>
      <c r="CI48" s="62">
        <f t="shared" si="39"/>
        <v>36000</v>
      </c>
      <c r="CJ48" s="62"/>
      <c r="CK48" s="62"/>
      <c r="CL48" s="62">
        <f t="shared" si="40"/>
        <v>700000</v>
      </c>
      <c r="CM48" s="62">
        <f t="shared" si="41"/>
        <v>1242750</v>
      </c>
      <c r="CN48" s="62">
        <f t="shared" si="42"/>
        <v>1242750</v>
      </c>
      <c r="CO48" s="62">
        <f t="shared" si="43"/>
        <v>0</v>
      </c>
    </row>
    <row r="49" spans="1:93" s="26" customFormat="1" ht="15" customHeight="1">
      <c r="A49" s="36">
        <v>16</v>
      </c>
      <c r="B49" s="51"/>
      <c r="C49" s="2" t="s">
        <v>24</v>
      </c>
      <c r="D49" s="10">
        <v>23934.375</v>
      </c>
      <c r="E49" s="102">
        <v>1.055</v>
      </c>
      <c r="F49" s="10">
        <f t="shared" si="4"/>
        <v>25250.765625</v>
      </c>
      <c r="G49" s="11">
        <f t="shared" si="75"/>
        <v>287212.5</v>
      </c>
      <c r="H49" s="10">
        <f t="shared" si="76"/>
        <v>86738.18</v>
      </c>
      <c r="I49" s="28">
        <f t="shared" si="77"/>
        <v>373950.68</v>
      </c>
      <c r="J49" s="13">
        <f t="shared" si="78"/>
        <v>100966.6836</v>
      </c>
      <c r="K49" s="10">
        <v>17570.85</v>
      </c>
      <c r="L49" s="102">
        <v>1.055</v>
      </c>
      <c r="M49" s="106">
        <v>18679</v>
      </c>
      <c r="N49" s="11">
        <f t="shared" si="79"/>
        <v>224148</v>
      </c>
      <c r="O49" s="10">
        <f t="shared" si="80"/>
        <v>67692.7</v>
      </c>
      <c r="P49" s="12">
        <f t="shared" si="81"/>
        <v>291840.7</v>
      </c>
      <c r="Q49" s="45">
        <v>0.85</v>
      </c>
      <c r="R49" s="10">
        <f t="shared" si="82"/>
        <v>190525.8</v>
      </c>
      <c r="S49" s="10">
        <f t="shared" si="83"/>
        <v>57538.79</v>
      </c>
      <c r="T49" s="44">
        <f t="shared" si="84"/>
        <v>248064.59</v>
      </c>
      <c r="U49" s="39">
        <f t="shared" si="85"/>
        <v>248064.59</v>
      </c>
      <c r="V49" s="44">
        <f>293582.97*12*1.302</f>
        <v>4586940.32328</v>
      </c>
      <c r="W49" s="44">
        <v>0</v>
      </c>
      <c r="X49" s="67">
        <f t="shared" si="17"/>
        <v>5227812.29688</v>
      </c>
      <c r="Y49" s="67"/>
      <c r="Z49" s="67"/>
      <c r="AA49" s="69"/>
      <c r="AB49" s="67"/>
      <c r="AC49" s="67">
        <v>20000</v>
      </c>
      <c r="AD49" s="67">
        <v>60750</v>
      </c>
      <c r="AE49" s="67">
        <v>27500</v>
      </c>
      <c r="AF49" s="67">
        <f>300*12</f>
        <v>3600</v>
      </c>
      <c r="AG49" s="67">
        <v>72000</v>
      </c>
      <c r="AH49" s="67">
        <f t="shared" si="86"/>
        <v>305000</v>
      </c>
      <c r="AI49" s="67">
        <v>7000</v>
      </c>
      <c r="AJ49" s="67">
        <v>700000</v>
      </c>
      <c r="AK49" s="135">
        <f t="shared" si="18"/>
        <v>6423662.29688</v>
      </c>
      <c r="AM49" s="82">
        <v>5</v>
      </c>
      <c r="AN49" s="36">
        <v>200</v>
      </c>
      <c r="AO49" s="36">
        <f t="shared" si="49"/>
        <v>20</v>
      </c>
      <c r="AP49" s="81">
        <f t="shared" si="44"/>
        <v>20000</v>
      </c>
      <c r="AQ49" s="36">
        <f t="shared" si="45"/>
        <v>600</v>
      </c>
      <c r="AR49" s="36">
        <f t="shared" si="46"/>
        <v>3000</v>
      </c>
      <c r="AS49" s="36">
        <v>550</v>
      </c>
      <c r="AT49" s="36">
        <v>21</v>
      </c>
      <c r="AU49" s="37">
        <f t="shared" si="47"/>
        <v>57750</v>
      </c>
      <c r="AV49" s="81">
        <f t="shared" si="48"/>
        <v>60750</v>
      </c>
      <c r="AW49" s="37"/>
      <c r="AX49" s="37"/>
      <c r="AY49" s="37" t="e">
        <f>(J49+#REF!+U49+#REF!+V49+W49)/12</f>
        <v>#REF!</v>
      </c>
      <c r="BA49" s="80">
        <f t="shared" si="19"/>
        <v>0</v>
      </c>
      <c r="BC49" s="37">
        <f t="shared" si="20"/>
        <v>0</v>
      </c>
      <c r="BD49" s="37">
        <f t="shared" si="74"/>
        <v>0</v>
      </c>
      <c r="BE49" s="37"/>
      <c r="BF49" s="37">
        <f t="shared" si="21"/>
        <v>54125</v>
      </c>
      <c r="BG49" s="37">
        <f t="shared" si="22"/>
        <v>54125</v>
      </c>
      <c r="BH49" s="37">
        <f t="shared" si="23"/>
        <v>108250</v>
      </c>
      <c r="BI49" s="37"/>
      <c r="BJ49" s="37">
        <f t="shared" si="24"/>
        <v>3600</v>
      </c>
      <c r="BK49" s="37">
        <f t="shared" si="25"/>
        <v>3600</v>
      </c>
      <c r="BL49" s="37"/>
      <c r="BM49" s="37">
        <f t="shared" si="26"/>
        <v>152500</v>
      </c>
      <c r="BN49" s="37">
        <f t="shared" si="27"/>
        <v>152500</v>
      </c>
      <c r="BO49" s="37">
        <f t="shared" si="28"/>
        <v>305000</v>
      </c>
      <c r="BP49" s="36"/>
      <c r="BQ49" s="36"/>
      <c r="BR49" s="36">
        <f t="shared" si="87"/>
        <v>36000</v>
      </c>
      <c r="BS49" s="36">
        <f t="shared" si="88"/>
        <v>36000</v>
      </c>
      <c r="BT49" s="37">
        <f t="shared" si="30"/>
        <v>700000</v>
      </c>
      <c r="BU49" s="37">
        <f t="shared" si="89"/>
        <v>772000</v>
      </c>
      <c r="BV49" s="36"/>
      <c r="BW49" s="37">
        <f t="shared" si="31"/>
        <v>7000</v>
      </c>
      <c r="BX49" s="37">
        <f t="shared" si="32"/>
        <v>7000</v>
      </c>
      <c r="CA49" s="62">
        <f t="shared" si="33"/>
        <v>0</v>
      </c>
      <c r="CB49" s="62">
        <f t="shared" si="34"/>
        <v>3600</v>
      </c>
      <c r="CC49" s="62">
        <f t="shared" si="35"/>
        <v>54125</v>
      </c>
      <c r="CD49" s="62">
        <f t="shared" si="36"/>
        <v>97125</v>
      </c>
      <c r="CE49" s="62"/>
      <c r="CF49" s="62"/>
      <c r="CG49" s="62">
        <f t="shared" si="37"/>
        <v>152500</v>
      </c>
      <c r="CH49" s="62">
        <f t="shared" si="38"/>
        <v>152500</v>
      </c>
      <c r="CI49" s="62">
        <f t="shared" si="39"/>
        <v>36000</v>
      </c>
      <c r="CJ49" s="62"/>
      <c r="CK49" s="62"/>
      <c r="CL49" s="62">
        <f t="shared" si="40"/>
        <v>700000</v>
      </c>
      <c r="CM49" s="62">
        <f t="shared" si="41"/>
        <v>1195850</v>
      </c>
      <c r="CN49" s="62">
        <f t="shared" si="42"/>
        <v>1195850</v>
      </c>
      <c r="CO49" s="62">
        <f t="shared" si="43"/>
        <v>0</v>
      </c>
    </row>
    <row r="50" spans="1:93" s="26" customFormat="1" ht="15">
      <c r="A50" s="36">
        <v>17</v>
      </c>
      <c r="B50" s="51"/>
      <c r="C50" s="2" t="s">
        <v>25</v>
      </c>
      <c r="D50" s="10">
        <v>25297.93</v>
      </c>
      <c r="E50" s="102">
        <v>1.055</v>
      </c>
      <c r="F50" s="10">
        <f t="shared" si="4"/>
        <v>26689.31615</v>
      </c>
      <c r="G50" s="11">
        <f t="shared" si="75"/>
        <v>303575.16</v>
      </c>
      <c r="H50" s="10">
        <f t="shared" si="76"/>
        <v>91679.7</v>
      </c>
      <c r="I50" s="28">
        <f t="shared" si="77"/>
        <v>395254.86</v>
      </c>
      <c r="J50" s="13">
        <f t="shared" si="78"/>
        <v>106718.8122</v>
      </c>
      <c r="K50" s="10">
        <v>42284.58</v>
      </c>
      <c r="L50" s="102">
        <v>1.055</v>
      </c>
      <c r="M50" s="10">
        <f t="shared" si="9"/>
        <v>44610.2319</v>
      </c>
      <c r="N50" s="11">
        <f t="shared" si="79"/>
        <v>535322.78</v>
      </c>
      <c r="O50" s="10">
        <f t="shared" si="80"/>
        <v>161667.48</v>
      </c>
      <c r="P50" s="12">
        <f t="shared" si="81"/>
        <v>696990.26</v>
      </c>
      <c r="Q50" s="45">
        <v>2</v>
      </c>
      <c r="R50" s="10">
        <f t="shared" si="82"/>
        <v>448296</v>
      </c>
      <c r="S50" s="10">
        <f t="shared" si="83"/>
        <v>135385.39</v>
      </c>
      <c r="T50" s="44">
        <f t="shared" si="84"/>
        <v>583681.39</v>
      </c>
      <c r="U50" s="39">
        <f t="shared" si="85"/>
        <v>583681.39</v>
      </c>
      <c r="V50" s="44">
        <f>426927.44*12*1.302</f>
        <v>6670314.32256</v>
      </c>
      <c r="W50" s="44">
        <v>0</v>
      </c>
      <c r="X50" s="67">
        <f t="shared" si="17"/>
        <v>8057704.78476</v>
      </c>
      <c r="Y50" s="67"/>
      <c r="Z50" s="67"/>
      <c r="AA50" s="69"/>
      <c r="AB50" s="67"/>
      <c r="AC50" s="67">
        <v>40000</v>
      </c>
      <c r="AD50" s="67">
        <v>121500</v>
      </c>
      <c r="AE50" s="67">
        <v>55000</v>
      </c>
      <c r="AF50" s="67">
        <f>1100*12</f>
        <v>13200</v>
      </c>
      <c r="AG50" s="67">
        <v>72000</v>
      </c>
      <c r="AH50" s="67">
        <f t="shared" si="86"/>
        <v>305000</v>
      </c>
      <c r="AI50" s="67">
        <v>7000</v>
      </c>
      <c r="AJ50" s="67">
        <v>700000</v>
      </c>
      <c r="AK50" s="135">
        <f t="shared" si="18"/>
        <v>9371404.78476</v>
      </c>
      <c r="AM50" s="82">
        <v>10</v>
      </c>
      <c r="AN50" s="36">
        <v>200</v>
      </c>
      <c r="AO50" s="36">
        <f t="shared" si="49"/>
        <v>20</v>
      </c>
      <c r="AP50" s="81">
        <f t="shared" si="44"/>
        <v>40000</v>
      </c>
      <c r="AQ50" s="36">
        <f t="shared" si="45"/>
        <v>600</v>
      </c>
      <c r="AR50" s="36">
        <f t="shared" si="46"/>
        <v>6000</v>
      </c>
      <c r="AS50" s="36">
        <v>550</v>
      </c>
      <c r="AT50" s="36">
        <v>21</v>
      </c>
      <c r="AU50" s="37">
        <f t="shared" si="47"/>
        <v>115500</v>
      </c>
      <c r="AV50" s="81">
        <f t="shared" si="48"/>
        <v>121500</v>
      </c>
      <c r="AW50" s="37"/>
      <c r="AX50" s="37"/>
      <c r="AY50" s="37" t="e">
        <f>(J50+#REF!+U50+#REF!+V50+W50)/12</f>
        <v>#REF!</v>
      </c>
      <c r="BA50" s="80">
        <f t="shared" si="19"/>
        <v>0</v>
      </c>
      <c r="BC50" s="37">
        <f t="shared" si="20"/>
        <v>0</v>
      </c>
      <c r="BD50" s="37">
        <f t="shared" si="74"/>
        <v>0</v>
      </c>
      <c r="BE50" s="37"/>
      <c r="BF50" s="37">
        <f t="shared" si="21"/>
        <v>108250</v>
      </c>
      <c r="BG50" s="37">
        <f t="shared" si="22"/>
        <v>108250</v>
      </c>
      <c r="BH50" s="37">
        <f t="shared" si="23"/>
        <v>216500</v>
      </c>
      <c r="BI50" s="37"/>
      <c r="BJ50" s="37">
        <f t="shared" si="24"/>
        <v>13200</v>
      </c>
      <c r="BK50" s="37">
        <f t="shared" si="25"/>
        <v>13200</v>
      </c>
      <c r="BL50" s="37"/>
      <c r="BM50" s="37">
        <f t="shared" si="26"/>
        <v>152500</v>
      </c>
      <c r="BN50" s="37">
        <f t="shared" si="27"/>
        <v>152500</v>
      </c>
      <c r="BO50" s="37">
        <f t="shared" si="28"/>
        <v>305000</v>
      </c>
      <c r="BP50" s="36"/>
      <c r="BQ50" s="36"/>
      <c r="BR50" s="36">
        <f t="shared" si="87"/>
        <v>36000</v>
      </c>
      <c r="BS50" s="36">
        <f t="shared" si="88"/>
        <v>36000</v>
      </c>
      <c r="BT50" s="37">
        <f t="shared" si="30"/>
        <v>700000</v>
      </c>
      <c r="BU50" s="37">
        <f t="shared" si="89"/>
        <v>772000</v>
      </c>
      <c r="BV50" s="36"/>
      <c r="BW50" s="37">
        <f t="shared" si="31"/>
        <v>7000</v>
      </c>
      <c r="BX50" s="37">
        <f t="shared" si="32"/>
        <v>7000</v>
      </c>
      <c r="CA50" s="62">
        <f t="shared" si="33"/>
        <v>0</v>
      </c>
      <c r="CB50" s="62">
        <f t="shared" si="34"/>
        <v>13200</v>
      </c>
      <c r="CC50" s="62">
        <f t="shared" si="35"/>
        <v>108250</v>
      </c>
      <c r="CD50" s="62">
        <f t="shared" si="36"/>
        <v>151250</v>
      </c>
      <c r="CE50" s="62"/>
      <c r="CF50" s="62"/>
      <c r="CG50" s="62">
        <f t="shared" si="37"/>
        <v>152500</v>
      </c>
      <c r="CH50" s="62">
        <f t="shared" si="38"/>
        <v>152500</v>
      </c>
      <c r="CI50" s="62">
        <f t="shared" si="39"/>
        <v>36000</v>
      </c>
      <c r="CJ50" s="62"/>
      <c r="CK50" s="62"/>
      <c r="CL50" s="62">
        <f t="shared" si="40"/>
        <v>700000</v>
      </c>
      <c r="CM50" s="62">
        <f t="shared" si="41"/>
        <v>1313700</v>
      </c>
      <c r="CN50" s="62">
        <f t="shared" si="42"/>
        <v>1313700</v>
      </c>
      <c r="CO50" s="62">
        <f t="shared" si="43"/>
        <v>0</v>
      </c>
    </row>
    <row r="51" spans="1:93" s="26" customFormat="1" ht="15" customHeight="1">
      <c r="A51" s="36">
        <v>18</v>
      </c>
      <c r="B51" s="51"/>
      <c r="C51" s="2" t="s">
        <v>26</v>
      </c>
      <c r="D51" s="10">
        <v>28411.44</v>
      </c>
      <c r="E51" s="102">
        <v>1.055</v>
      </c>
      <c r="F51" s="10">
        <f t="shared" si="4"/>
        <v>29974.069199999998</v>
      </c>
      <c r="G51" s="11">
        <f t="shared" si="75"/>
        <v>340937.28</v>
      </c>
      <c r="H51" s="10">
        <f t="shared" si="76"/>
        <v>102963.06</v>
      </c>
      <c r="I51" s="28">
        <f t="shared" si="77"/>
        <v>443900.34</v>
      </c>
      <c r="J51" s="13">
        <f t="shared" si="78"/>
        <v>119853.09180000001</v>
      </c>
      <c r="K51" s="10">
        <v>40400.88</v>
      </c>
      <c r="L51" s="102">
        <v>1.055</v>
      </c>
      <c r="M51" s="10">
        <f t="shared" si="9"/>
        <v>42622.9284</v>
      </c>
      <c r="N51" s="11">
        <f t="shared" si="79"/>
        <v>511475.14</v>
      </c>
      <c r="O51" s="10">
        <f t="shared" si="80"/>
        <v>154465.49</v>
      </c>
      <c r="P51" s="12">
        <f t="shared" si="81"/>
        <v>665940.63</v>
      </c>
      <c r="Q51" s="45">
        <v>1.5</v>
      </c>
      <c r="R51" s="10">
        <f t="shared" si="82"/>
        <v>336222</v>
      </c>
      <c r="S51" s="10">
        <f t="shared" si="83"/>
        <v>101539.04</v>
      </c>
      <c r="T51" s="44">
        <f t="shared" si="84"/>
        <v>437761.04</v>
      </c>
      <c r="U51" s="39">
        <f t="shared" si="85"/>
        <v>437761.04</v>
      </c>
      <c r="V51" s="44">
        <f>493638.48*12*1.302</f>
        <v>7712607.61152</v>
      </c>
      <c r="W51" s="44">
        <v>0</v>
      </c>
      <c r="X51" s="67">
        <f t="shared" si="17"/>
        <v>8936162.37332</v>
      </c>
      <c r="Y51" s="67"/>
      <c r="Z51" s="67"/>
      <c r="AA51" s="69"/>
      <c r="AB51" s="67"/>
      <c r="AC51" s="67">
        <v>36000</v>
      </c>
      <c r="AD51" s="67">
        <v>109350</v>
      </c>
      <c r="AE51" s="67">
        <v>49500</v>
      </c>
      <c r="AF51" s="67">
        <f>800*12</f>
        <v>9600</v>
      </c>
      <c r="AG51" s="67">
        <v>72000</v>
      </c>
      <c r="AH51" s="67">
        <f t="shared" si="86"/>
        <v>305000</v>
      </c>
      <c r="AI51" s="67">
        <v>7000</v>
      </c>
      <c r="AJ51" s="67">
        <v>700000</v>
      </c>
      <c r="AK51" s="135">
        <f t="shared" si="18"/>
        <v>10224612.37332</v>
      </c>
      <c r="AM51" s="82">
        <v>9</v>
      </c>
      <c r="AN51" s="36">
        <v>200</v>
      </c>
      <c r="AO51" s="36">
        <f t="shared" si="49"/>
        <v>20</v>
      </c>
      <c r="AP51" s="81">
        <f t="shared" si="44"/>
        <v>36000</v>
      </c>
      <c r="AQ51" s="36">
        <f t="shared" si="45"/>
        <v>600</v>
      </c>
      <c r="AR51" s="36">
        <f t="shared" si="46"/>
        <v>5400</v>
      </c>
      <c r="AS51" s="36">
        <v>550</v>
      </c>
      <c r="AT51" s="36">
        <v>21</v>
      </c>
      <c r="AU51" s="37">
        <f t="shared" si="47"/>
        <v>103950</v>
      </c>
      <c r="AV51" s="81">
        <f t="shared" si="48"/>
        <v>109350</v>
      </c>
      <c r="AW51" s="37"/>
      <c r="AX51" s="37"/>
      <c r="AY51" s="37" t="e">
        <f>(J51+#REF!+U51+#REF!+V51+W51)/12</f>
        <v>#REF!</v>
      </c>
      <c r="BA51" s="80">
        <f t="shared" si="19"/>
        <v>0</v>
      </c>
      <c r="BC51" s="37">
        <f t="shared" si="20"/>
        <v>0</v>
      </c>
      <c r="BD51" s="37">
        <f t="shared" si="74"/>
        <v>0</v>
      </c>
      <c r="BE51" s="37"/>
      <c r="BF51" s="37">
        <f t="shared" si="21"/>
        <v>97425</v>
      </c>
      <c r="BG51" s="37">
        <f t="shared" si="22"/>
        <v>97425</v>
      </c>
      <c r="BH51" s="37">
        <f t="shared" si="23"/>
        <v>194850</v>
      </c>
      <c r="BI51" s="37"/>
      <c r="BJ51" s="37">
        <f t="shared" si="24"/>
        <v>9600</v>
      </c>
      <c r="BK51" s="37">
        <f t="shared" si="25"/>
        <v>9600</v>
      </c>
      <c r="BL51" s="37"/>
      <c r="BM51" s="37">
        <f t="shared" si="26"/>
        <v>152500</v>
      </c>
      <c r="BN51" s="37">
        <f t="shared" si="27"/>
        <v>152500</v>
      </c>
      <c r="BO51" s="37">
        <f t="shared" si="28"/>
        <v>305000</v>
      </c>
      <c r="BP51" s="36"/>
      <c r="BQ51" s="36"/>
      <c r="BR51" s="36">
        <f t="shared" si="87"/>
        <v>36000</v>
      </c>
      <c r="BS51" s="36">
        <f t="shared" si="88"/>
        <v>36000</v>
      </c>
      <c r="BT51" s="37">
        <f t="shared" si="30"/>
        <v>700000</v>
      </c>
      <c r="BU51" s="37">
        <f t="shared" si="89"/>
        <v>772000</v>
      </c>
      <c r="BV51" s="36"/>
      <c r="BW51" s="37">
        <f t="shared" si="31"/>
        <v>7000</v>
      </c>
      <c r="BX51" s="37">
        <f t="shared" si="32"/>
        <v>7000</v>
      </c>
      <c r="CA51" s="62">
        <f t="shared" si="33"/>
        <v>0</v>
      </c>
      <c r="CB51" s="62">
        <f t="shared" si="34"/>
        <v>9600</v>
      </c>
      <c r="CC51" s="62">
        <f t="shared" si="35"/>
        <v>97425</v>
      </c>
      <c r="CD51" s="62">
        <f t="shared" si="36"/>
        <v>140425</v>
      </c>
      <c r="CE51" s="62"/>
      <c r="CF51" s="62"/>
      <c r="CG51" s="62">
        <f t="shared" si="37"/>
        <v>152500</v>
      </c>
      <c r="CH51" s="62">
        <f t="shared" si="38"/>
        <v>152500</v>
      </c>
      <c r="CI51" s="62">
        <f t="shared" si="39"/>
        <v>36000</v>
      </c>
      <c r="CJ51" s="62"/>
      <c r="CK51" s="62"/>
      <c r="CL51" s="62">
        <f t="shared" si="40"/>
        <v>700000</v>
      </c>
      <c r="CM51" s="62">
        <f t="shared" si="41"/>
        <v>1288450</v>
      </c>
      <c r="CN51" s="62">
        <f t="shared" si="42"/>
        <v>1288450</v>
      </c>
      <c r="CO51" s="62">
        <f t="shared" si="43"/>
        <v>0</v>
      </c>
    </row>
    <row r="52" spans="1:93" s="26" customFormat="1" ht="15" customHeight="1">
      <c r="A52" s="36">
        <v>19</v>
      </c>
      <c r="B52" s="51"/>
      <c r="C52" s="2" t="s">
        <v>27</v>
      </c>
      <c r="D52" s="10">
        <v>27097.9675</v>
      </c>
      <c r="E52" s="102">
        <v>1.055</v>
      </c>
      <c r="F52" s="10">
        <f t="shared" si="4"/>
        <v>28588.355712499997</v>
      </c>
      <c r="G52" s="11">
        <f t="shared" si="75"/>
        <v>325175.61</v>
      </c>
      <c r="H52" s="10">
        <f t="shared" si="76"/>
        <v>98203.03</v>
      </c>
      <c r="I52" s="28">
        <f t="shared" si="77"/>
        <v>423378.64</v>
      </c>
      <c r="J52" s="13">
        <f t="shared" si="78"/>
        <v>114312.23280000001</v>
      </c>
      <c r="K52" s="10">
        <v>43927.13</v>
      </c>
      <c r="L52" s="102">
        <v>1.055</v>
      </c>
      <c r="M52" s="106">
        <v>46697.5</v>
      </c>
      <c r="N52" s="11">
        <f t="shared" si="79"/>
        <v>560370</v>
      </c>
      <c r="O52" s="10">
        <f t="shared" si="80"/>
        <v>169231.74</v>
      </c>
      <c r="P52" s="12">
        <f t="shared" si="81"/>
        <v>729601.74</v>
      </c>
      <c r="Q52" s="45">
        <v>1</v>
      </c>
      <c r="R52" s="10">
        <f t="shared" si="82"/>
        <v>224148</v>
      </c>
      <c r="S52" s="10">
        <f t="shared" si="83"/>
        <v>67692.7</v>
      </c>
      <c r="T52" s="44">
        <f t="shared" si="84"/>
        <v>291840.7</v>
      </c>
      <c r="U52" s="39">
        <f t="shared" si="85"/>
        <v>291840.7</v>
      </c>
      <c r="V52" s="44">
        <f>476435.04*12*1.302</f>
        <v>7443821.064959999</v>
      </c>
      <c r="W52" s="44">
        <v>0</v>
      </c>
      <c r="X52" s="67">
        <f t="shared" si="17"/>
        <v>8579575.737759998</v>
      </c>
      <c r="Y52" s="67"/>
      <c r="Z52" s="67"/>
      <c r="AA52" s="69"/>
      <c r="AB52" s="67"/>
      <c r="AC52" s="67">
        <v>28000</v>
      </c>
      <c r="AD52" s="67">
        <v>85050</v>
      </c>
      <c r="AE52" s="67">
        <v>38500</v>
      </c>
      <c r="AF52" s="67">
        <f t="shared" si="90"/>
        <v>7200</v>
      </c>
      <c r="AG52" s="67">
        <v>72000</v>
      </c>
      <c r="AH52" s="67">
        <f t="shared" si="86"/>
        <v>305000</v>
      </c>
      <c r="AI52" s="67">
        <v>7000</v>
      </c>
      <c r="AJ52" s="67">
        <v>700000</v>
      </c>
      <c r="AK52" s="135">
        <f t="shared" si="18"/>
        <v>9822325.737759998</v>
      </c>
      <c r="AM52" s="82">
        <v>7</v>
      </c>
      <c r="AN52" s="36">
        <v>200</v>
      </c>
      <c r="AO52" s="36">
        <f t="shared" si="49"/>
        <v>20</v>
      </c>
      <c r="AP52" s="81">
        <f t="shared" si="44"/>
        <v>28000</v>
      </c>
      <c r="AQ52" s="36">
        <f t="shared" si="45"/>
        <v>600</v>
      </c>
      <c r="AR52" s="36">
        <f t="shared" si="46"/>
        <v>4200</v>
      </c>
      <c r="AS52" s="36">
        <v>550</v>
      </c>
      <c r="AT52" s="36">
        <v>21</v>
      </c>
      <c r="AU52" s="37">
        <f t="shared" si="47"/>
        <v>80850</v>
      </c>
      <c r="AV52" s="81">
        <f t="shared" si="48"/>
        <v>85050</v>
      </c>
      <c r="AW52" s="37"/>
      <c r="AX52" s="37"/>
      <c r="AY52" s="37" t="e">
        <f>(J52+#REF!+U52+#REF!+V52+W52)/12</f>
        <v>#REF!</v>
      </c>
      <c r="BA52" s="80">
        <f t="shared" si="19"/>
        <v>0</v>
      </c>
      <c r="BC52" s="37">
        <f t="shared" si="20"/>
        <v>0</v>
      </c>
      <c r="BD52" s="37">
        <f t="shared" si="74"/>
        <v>0</v>
      </c>
      <c r="BE52" s="37"/>
      <c r="BF52" s="37">
        <f t="shared" si="21"/>
        <v>75775</v>
      </c>
      <c r="BG52" s="37">
        <f t="shared" si="22"/>
        <v>75775</v>
      </c>
      <c r="BH52" s="37">
        <f t="shared" si="23"/>
        <v>151550</v>
      </c>
      <c r="BI52" s="37"/>
      <c r="BJ52" s="37">
        <f t="shared" si="24"/>
        <v>7200</v>
      </c>
      <c r="BK52" s="37">
        <f t="shared" si="25"/>
        <v>7200</v>
      </c>
      <c r="BL52" s="37"/>
      <c r="BM52" s="37">
        <f t="shared" si="26"/>
        <v>152500</v>
      </c>
      <c r="BN52" s="37">
        <f t="shared" si="27"/>
        <v>152500</v>
      </c>
      <c r="BO52" s="37">
        <f t="shared" si="28"/>
        <v>305000</v>
      </c>
      <c r="BP52" s="36"/>
      <c r="BQ52" s="36"/>
      <c r="BR52" s="36">
        <f t="shared" si="87"/>
        <v>36000</v>
      </c>
      <c r="BS52" s="36">
        <f t="shared" si="88"/>
        <v>36000</v>
      </c>
      <c r="BT52" s="37">
        <f t="shared" si="30"/>
        <v>700000</v>
      </c>
      <c r="BU52" s="37">
        <f t="shared" si="89"/>
        <v>772000</v>
      </c>
      <c r="BV52" s="36"/>
      <c r="BW52" s="37">
        <f t="shared" si="31"/>
        <v>7000</v>
      </c>
      <c r="BX52" s="37">
        <f t="shared" si="32"/>
        <v>7000</v>
      </c>
      <c r="CA52" s="62">
        <f t="shared" si="33"/>
        <v>0</v>
      </c>
      <c r="CB52" s="62">
        <f t="shared" si="34"/>
        <v>7200</v>
      </c>
      <c r="CC52" s="62">
        <f t="shared" si="35"/>
        <v>75775</v>
      </c>
      <c r="CD52" s="62">
        <f t="shared" si="36"/>
        <v>118775</v>
      </c>
      <c r="CE52" s="62"/>
      <c r="CF52" s="62"/>
      <c r="CG52" s="62">
        <f t="shared" si="37"/>
        <v>152500</v>
      </c>
      <c r="CH52" s="62">
        <f t="shared" si="38"/>
        <v>152500</v>
      </c>
      <c r="CI52" s="62">
        <f t="shared" si="39"/>
        <v>36000</v>
      </c>
      <c r="CJ52" s="62"/>
      <c r="CK52" s="62"/>
      <c r="CL52" s="62">
        <f t="shared" si="40"/>
        <v>700000</v>
      </c>
      <c r="CM52" s="62">
        <f t="shared" si="41"/>
        <v>1242750</v>
      </c>
      <c r="CN52" s="62">
        <f t="shared" si="42"/>
        <v>1242750</v>
      </c>
      <c r="CO52" s="62">
        <f t="shared" si="43"/>
        <v>0</v>
      </c>
    </row>
    <row r="53" spans="1:93" s="26" customFormat="1" ht="15">
      <c r="A53" s="36">
        <v>20</v>
      </c>
      <c r="B53" s="51"/>
      <c r="C53" s="2" t="s">
        <v>28</v>
      </c>
      <c r="D53" s="10">
        <v>29502.56</v>
      </c>
      <c r="E53" s="102">
        <v>1.055</v>
      </c>
      <c r="F53" s="10">
        <f t="shared" si="4"/>
        <v>31125.2008</v>
      </c>
      <c r="G53" s="11">
        <f t="shared" si="75"/>
        <v>354030.72</v>
      </c>
      <c r="H53" s="10">
        <f t="shared" si="76"/>
        <v>106917.28</v>
      </c>
      <c r="I53" s="28">
        <f t="shared" si="77"/>
        <v>460948</v>
      </c>
      <c r="J53" s="13">
        <f t="shared" si="78"/>
        <v>124455.96</v>
      </c>
      <c r="K53" s="10">
        <v>58732.57</v>
      </c>
      <c r="L53" s="102">
        <v>1.055</v>
      </c>
      <c r="M53" s="10">
        <f t="shared" si="9"/>
        <v>61962.86135</v>
      </c>
      <c r="N53" s="11">
        <f t="shared" si="79"/>
        <v>743554.34</v>
      </c>
      <c r="O53" s="10">
        <f t="shared" si="80"/>
        <v>224553.41</v>
      </c>
      <c r="P53" s="12">
        <f t="shared" si="81"/>
        <v>968107.75</v>
      </c>
      <c r="Q53" s="45">
        <v>1.5</v>
      </c>
      <c r="R53" s="10">
        <f t="shared" si="82"/>
        <v>336222</v>
      </c>
      <c r="S53" s="10">
        <f t="shared" si="83"/>
        <v>101539.04</v>
      </c>
      <c r="T53" s="44">
        <f t="shared" si="84"/>
        <v>437761.04</v>
      </c>
      <c r="U53" s="39">
        <f t="shared" si="85"/>
        <v>437761.04</v>
      </c>
      <c r="V53" s="44">
        <f>415104.42*12*1.302</f>
        <v>6485591.45808</v>
      </c>
      <c r="W53" s="44">
        <v>0</v>
      </c>
      <c r="X53" s="67">
        <f t="shared" si="17"/>
        <v>8015916.20808</v>
      </c>
      <c r="Y53" s="67"/>
      <c r="Z53" s="67"/>
      <c r="AA53" s="69"/>
      <c r="AB53" s="67"/>
      <c r="AC53" s="67">
        <v>28000</v>
      </c>
      <c r="AD53" s="67">
        <v>85050</v>
      </c>
      <c r="AE53" s="67">
        <v>38500</v>
      </c>
      <c r="AF53" s="67">
        <f>1900*12</f>
        <v>22800</v>
      </c>
      <c r="AG53" s="67">
        <v>72000</v>
      </c>
      <c r="AH53" s="67">
        <f t="shared" si="86"/>
        <v>305000</v>
      </c>
      <c r="AI53" s="67">
        <v>7000</v>
      </c>
      <c r="AJ53" s="67">
        <v>700000</v>
      </c>
      <c r="AK53" s="135">
        <f t="shared" si="18"/>
        <v>9274266.208080001</v>
      </c>
      <c r="AM53" s="82">
        <v>7</v>
      </c>
      <c r="AN53" s="36">
        <v>200</v>
      </c>
      <c r="AO53" s="36">
        <f t="shared" si="49"/>
        <v>20</v>
      </c>
      <c r="AP53" s="81">
        <f t="shared" si="44"/>
        <v>28000</v>
      </c>
      <c r="AQ53" s="36">
        <f t="shared" si="45"/>
        <v>600</v>
      </c>
      <c r="AR53" s="36">
        <f t="shared" si="46"/>
        <v>4200</v>
      </c>
      <c r="AS53" s="36">
        <v>550</v>
      </c>
      <c r="AT53" s="36">
        <v>21</v>
      </c>
      <c r="AU53" s="37">
        <f t="shared" si="47"/>
        <v>80850</v>
      </c>
      <c r="AV53" s="81">
        <f t="shared" si="48"/>
        <v>85050</v>
      </c>
      <c r="AW53" s="37"/>
      <c r="AX53" s="37"/>
      <c r="AY53" s="37" t="e">
        <f>(J53+#REF!+U53+#REF!+V53+W53)/12</f>
        <v>#REF!</v>
      </c>
      <c r="BA53" s="80">
        <f t="shared" si="19"/>
        <v>0</v>
      </c>
      <c r="BC53" s="37">
        <f t="shared" si="20"/>
        <v>0</v>
      </c>
      <c r="BD53" s="37">
        <f t="shared" si="74"/>
        <v>0</v>
      </c>
      <c r="BE53" s="37"/>
      <c r="BF53" s="37">
        <f t="shared" si="21"/>
        <v>75775</v>
      </c>
      <c r="BG53" s="37">
        <f t="shared" si="22"/>
        <v>75775</v>
      </c>
      <c r="BH53" s="37">
        <f t="shared" si="23"/>
        <v>151550</v>
      </c>
      <c r="BI53" s="37"/>
      <c r="BJ53" s="37">
        <f t="shared" si="24"/>
        <v>22800</v>
      </c>
      <c r="BK53" s="37">
        <f t="shared" si="25"/>
        <v>22800</v>
      </c>
      <c r="BL53" s="37"/>
      <c r="BM53" s="37">
        <f t="shared" si="26"/>
        <v>152500</v>
      </c>
      <c r="BN53" s="37">
        <f t="shared" si="27"/>
        <v>152500</v>
      </c>
      <c r="BO53" s="37">
        <f t="shared" si="28"/>
        <v>305000</v>
      </c>
      <c r="BP53" s="36"/>
      <c r="BQ53" s="36"/>
      <c r="BR53" s="36">
        <f t="shared" si="87"/>
        <v>36000</v>
      </c>
      <c r="BS53" s="36">
        <f t="shared" si="88"/>
        <v>36000</v>
      </c>
      <c r="BT53" s="37">
        <f t="shared" si="30"/>
        <v>700000</v>
      </c>
      <c r="BU53" s="37">
        <f t="shared" si="89"/>
        <v>772000</v>
      </c>
      <c r="BV53" s="36"/>
      <c r="BW53" s="37">
        <f t="shared" si="31"/>
        <v>7000</v>
      </c>
      <c r="BX53" s="37">
        <f t="shared" si="32"/>
        <v>7000</v>
      </c>
      <c r="CA53" s="62">
        <f t="shared" si="33"/>
        <v>0</v>
      </c>
      <c r="CB53" s="62">
        <f t="shared" si="34"/>
        <v>22800</v>
      </c>
      <c r="CC53" s="62">
        <f t="shared" si="35"/>
        <v>75775</v>
      </c>
      <c r="CD53" s="62">
        <f t="shared" si="36"/>
        <v>118775</v>
      </c>
      <c r="CE53" s="62"/>
      <c r="CF53" s="62"/>
      <c r="CG53" s="62">
        <f t="shared" si="37"/>
        <v>152500</v>
      </c>
      <c r="CH53" s="62">
        <f t="shared" si="38"/>
        <v>152500</v>
      </c>
      <c r="CI53" s="62">
        <f t="shared" si="39"/>
        <v>36000</v>
      </c>
      <c r="CJ53" s="62"/>
      <c r="CK53" s="62"/>
      <c r="CL53" s="62">
        <f t="shared" si="40"/>
        <v>700000</v>
      </c>
      <c r="CM53" s="62">
        <f t="shared" si="41"/>
        <v>1258350</v>
      </c>
      <c r="CN53" s="62">
        <f t="shared" si="42"/>
        <v>1258350</v>
      </c>
      <c r="CO53" s="62">
        <f t="shared" si="43"/>
        <v>0</v>
      </c>
    </row>
    <row r="54" spans="1:93" s="26" customFormat="1" ht="15" customHeight="1">
      <c r="A54" s="36">
        <v>21</v>
      </c>
      <c r="B54" s="51"/>
      <c r="C54" s="4" t="s">
        <v>29</v>
      </c>
      <c r="D54" s="10">
        <v>17570.850000000002</v>
      </c>
      <c r="E54" s="102">
        <v>1.055</v>
      </c>
      <c r="F54" s="106">
        <v>18679</v>
      </c>
      <c r="G54" s="11">
        <f t="shared" si="75"/>
        <v>210850.2</v>
      </c>
      <c r="H54" s="10">
        <f t="shared" si="76"/>
        <v>63676.76</v>
      </c>
      <c r="I54" s="28">
        <f t="shared" si="77"/>
        <v>274526.96</v>
      </c>
      <c r="J54" s="13">
        <f t="shared" si="78"/>
        <v>74122.2792</v>
      </c>
      <c r="K54" s="10">
        <v>0</v>
      </c>
      <c r="L54" s="102">
        <v>1.055</v>
      </c>
      <c r="M54" s="10">
        <f t="shared" si="9"/>
        <v>0</v>
      </c>
      <c r="N54" s="11">
        <f t="shared" si="79"/>
        <v>0</v>
      </c>
      <c r="O54" s="10">
        <f t="shared" si="80"/>
        <v>0</v>
      </c>
      <c r="P54" s="12">
        <f t="shared" si="81"/>
        <v>0</v>
      </c>
      <c r="Q54" s="45">
        <v>0</v>
      </c>
      <c r="R54" s="10">
        <f t="shared" si="82"/>
        <v>0</v>
      </c>
      <c r="S54" s="10">
        <f t="shared" si="83"/>
        <v>0</v>
      </c>
      <c r="T54" s="44">
        <f t="shared" si="84"/>
        <v>0</v>
      </c>
      <c r="U54" s="39">
        <f t="shared" si="85"/>
        <v>0</v>
      </c>
      <c r="V54" s="44">
        <f>151083.72*12*1.302</f>
        <v>2360532.0412800005</v>
      </c>
      <c r="W54" s="44">
        <v>0</v>
      </c>
      <c r="X54" s="67">
        <f t="shared" si="17"/>
        <v>2434654.3204800007</v>
      </c>
      <c r="Y54" s="67"/>
      <c r="Z54" s="67"/>
      <c r="AA54" s="69"/>
      <c r="AB54" s="67"/>
      <c r="AC54" s="67">
        <v>8000</v>
      </c>
      <c r="AD54" s="67">
        <v>24300</v>
      </c>
      <c r="AE54" s="67">
        <v>11000</v>
      </c>
      <c r="AF54" s="67">
        <f t="shared" si="90"/>
        <v>7200</v>
      </c>
      <c r="AG54" s="67">
        <v>30000</v>
      </c>
      <c r="AH54" s="67">
        <f>105000+15000+50000</f>
        <v>170000</v>
      </c>
      <c r="AI54" s="67">
        <v>5000</v>
      </c>
      <c r="AJ54" s="67"/>
      <c r="AK54" s="135">
        <f t="shared" si="18"/>
        <v>2690154.3204800007</v>
      </c>
      <c r="AM54" s="82">
        <v>2</v>
      </c>
      <c r="AN54" s="36">
        <v>200</v>
      </c>
      <c r="AO54" s="36">
        <f t="shared" si="49"/>
        <v>20</v>
      </c>
      <c r="AP54" s="81">
        <f t="shared" si="44"/>
        <v>8000</v>
      </c>
      <c r="AQ54" s="36">
        <f t="shared" si="45"/>
        <v>600</v>
      </c>
      <c r="AR54" s="36">
        <f t="shared" si="46"/>
        <v>1200</v>
      </c>
      <c r="AS54" s="36">
        <v>550</v>
      </c>
      <c r="AT54" s="36">
        <v>21</v>
      </c>
      <c r="AU54" s="37">
        <f t="shared" si="47"/>
        <v>23100</v>
      </c>
      <c r="AV54" s="81">
        <f t="shared" si="48"/>
        <v>24300</v>
      </c>
      <c r="AW54" s="37"/>
      <c r="AX54" s="37"/>
      <c r="AY54" s="37" t="e">
        <f>(J54+#REF!+U54+#REF!+V54+W54)/12</f>
        <v>#REF!</v>
      </c>
      <c r="BA54" s="80">
        <f t="shared" si="19"/>
        <v>0</v>
      </c>
      <c r="BC54" s="37">
        <f t="shared" si="20"/>
        <v>0</v>
      </c>
      <c r="BD54" s="37">
        <f t="shared" si="74"/>
        <v>0</v>
      </c>
      <c r="BE54" s="37"/>
      <c r="BF54" s="37">
        <f t="shared" si="21"/>
        <v>21650</v>
      </c>
      <c r="BG54" s="37">
        <f t="shared" si="22"/>
        <v>21650</v>
      </c>
      <c r="BH54" s="37">
        <f t="shared" si="23"/>
        <v>43300</v>
      </c>
      <c r="BI54" s="37"/>
      <c r="BJ54" s="37">
        <f t="shared" si="24"/>
        <v>7200</v>
      </c>
      <c r="BK54" s="37">
        <f t="shared" si="25"/>
        <v>7200</v>
      </c>
      <c r="BL54" s="37"/>
      <c r="BM54" s="37">
        <f t="shared" si="26"/>
        <v>85000</v>
      </c>
      <c r="BN54" s="37">
        <f t="shared" si="27"/>
        <v>85000</v>
      </c>
      <c r="BO54" s="37">
        <f t="shared" si="28"/>
        <v>170000</v>
      </c>
      <c r="BP54" s="36"/>
      <c r="BQ54" s="36"/>
      <c r="BR54" s="36">
        <f t="shared" si="87"/>
        <v>15000</v>
      </c>
      <c r="BS54" s="36">
        <f t="shared" si="88"/>
        <v>15000</v>
      </c>
      <c r="BT54" s="37">
        <f t="shared" si="30"/>
        <v>0</v>
      </c>
      <c r="BU54" s="37">
        <f t="shared" si="89"/>
        <v>30000</v>
      </c>
      <c r="BV54" s="36"/>
      <c r="BW54" s="37">
        <f t="shared" si="31"/>
        <v>5000</v>
      </c>
      <c r="BX54" s="37">
        <f t="shared" si="32"/>
        <v>5000</v>
      </c>
      <c r="CA54" s="62">
        <f t="shared" si="33"/>
        <v>0</v>
      </c>
      <c r="CB54" s="62">
        <f t="shared" si="34"/>
        <v>7200</v>
      </c>
      <c r="CC54" s="62">
        <f t="shared" si="35"/>
        <v>21650</v>
      </c>
      <c r="CD54" s="62">
        <f t="shared" si="36"/>
        <v>41650</v>
      </c>
      <c r="CE54" s="62"/>
      <c r="CF54" s="62"/>
      <c r="CG54" s="62">
        <f t="shared" si="37"/>
        <v>85000</v>
      </c>
      <c r="CH54" s="62">
        <f t="shared" si="38"/>
        <v>85000</v>
      </c>
      <c r="CI54" s="62">
        <f t="shared" si="39"/>
        <v>15000</v>
      </c>
      <c r="CJ54" s="62"/>
      <c r="CK54" s="62"/>
      <c r="CL54" s="62">
        <f t="shared" si="40"/>
        <v>0</v>
      </c>
      <c r="CM54" s="62">
        <f t="shared" si="41"/>
        <v>255500</v>
      </c>
      <c r="CN54" s="62">
        <f t="shared" si="42"/>
        <v>255500</v>
      </c>
      <c r="CO54" s="62">
        <f t="shared" si="43"/>
        <v>0</v>
      </c>
    </row>
    <row r="55" spans="1:93" s="26" customFormat="1" ht="15" customHeight="1">
      <c r="A55" s="36">
        <v>22</v>
      </c>
      <c r="B55" s="51"/>
      <c r="C55" s="4" t="s">
        <v>30</v>
      </c>
      <c r="D55" s="10">
        <v>0</v>
      </c>
      <c r="E55" s="102">
        <v>1.055</v>
      </c>
      <c r="F55" s="10">
        <f t="shared" si="4"/>
        <v>0</v>
      </c>
      <c r="G55" s="11">
        <f t="shared" si="75"/>
        <v>0</v>
      </c>
      <c r="H55" s="10">
        <f t="shared" si="76"/>
        <v>0</v>
      </c>
      <c r="I55" s="28">
        <f t="shared" si="77"/>
        <v>0</v>
      </c>
      <c r="J55" s="13">
        <f t="shared" si="78"/>
        <v>0</v>
      </c>
      <c r="K55" s="10">
        <v>0</v>
      </c>
      <c r="L55" s="102">
        <v>1.055</v>
      </c>
      <c r="M55" s="10">
        <f t="shared" si="9"/>
        <v>0</v>
      </c>
      <c r="N55" s="11">
        <f t="shared" si="79"/>
        <v>0</v>
      </c>
      <c r="O55" s="10">
        <f t="shared" si="80"/>
        <v>0</v>
      </c>
      <c r="P55" s="12">
        <f t="shared" si="81"/>
        <v>0</v>
      </c>
      <c r="Q55" s="45">
        <v>0</v>
      </c>
      <c r="R55" s="10">
        <f t="shared" si="82"/>
        <v>0</v>
      </c>
      <c r="S55" s="10">
        <f t="shared" si="83"/>
        <v>0</v>
      </c>
      <c r="T55" s="44">
        <f t="shared" si="84"/>
        <v>0</v>
      </c>
      <c r="U55" s="39">
        <f t="shared" si="85"/>
        <v>0</v>
      </c>
      <c r="V55" s="44">
        <v>0</v>
      </c>
      <c r="W55" s="44">
        <v>0</v>
      </c>
      <c r="X55" s="67">
        <f t="shared" si="17"/>
        <v>0</v>
      </c>
      <c r="Y55" s="67"/>
      <c r="Z55" s="67"/>
      <c r="AA55" s="69"/>
      <c r="AB55" s="67"/>
      <c r="AC55" s="67">
        <v>0</v>
      </c>
      <c r="AD55" s="67">
        <v>0</v>
      </c>
      <c r="AE55" s="67">
        <v>0</v>
      </c>
      <c r="AF55" s="67">
        <f t="shared" si="90"/>
        <v>7200</v>
      </c>
      <c r="AG55" s="67">
        <v>30000</v>
      </c>
      <c r="AH55" s="67">
        <f aca="true" t="shared" si="91" ref="AH55:AH65">105000+15000+50000</f>
        <v>170000</v>
      </c>
      <c r="AI55" s="67">
        <v>5000</v>
      </c>
      <c r="AJ55" s="67"/>
      <c r="AK55" s="135">
        <f t="shared" si="18"/>
        <v>212200</v>
      </c>
      <c r="AM55" s="36"/>
      <c r="AN55" s="36">
        <v>200</v>
      </c>
      <c r="AO55" s="36"/>
      <c r="AP55" s="81">
        <f t="shared" si="44"/>
        <v>0</v>
      </c>
      <c r="AQ55" s="36">
        <f t="shared" si="45"/>
        <v>600</v>
      </c>
      <c r="AR55" s="36">
        <f t="shared" si="46"/>
        <v>0</v>
      </c>
      <c r="AS55" s="36">
        <v>550</v>
      </c>
      <c r="AT55" s="36">
        <v>21</v>
      </c>
      <c r="AU55" s="37">
        <f t="shared" si="47"/>
        <v>0</v>
      </c>
      <c r="AV55" s="81">
        <f t="shared" si="48"/>
        <v>0</v>
      </c>
      <c r="AW55" s="37"/>
      <c r="AX55" s="37"/>
      <c r="AY55" s="37" t="e">
        <f>(J55+#REF!+U55+#REF!+V55+W55)/12</f>
        <v>#REF!</v>
      </c>
      <c r="BA55" s="80">
        <f t="shared" si="19"/>
        <v>0</v>
      </c>
      <c r="BC55" s="37">
        <f t="shared" si="20"/>
        <v>0</v>
      </c>
      <c r="BD55" s="37">
        <f t="shared" si="74"/>
        <v>0</v>
      </c>
      <c r="BE55" s="37"/>
      <c r="BF55" s="37">
        <f>(AC55+AD55+AE55)/2</f>
        <v>0</v>
      </c>
      <c r="BG55" s="37">
        <f t="shared" si="22"/>
        <v>0</v>
      </c>
      <c r="BH55" s="37">
        <f t="shared" si="23"/>
        <v>0</v>
      </c>
      <c r="BI55" s="37"/>
      <c r="BJ55" s="37">
        <f t="shared" si="24"/>
        <v>7200</v>
      </c>
      <c r="BK55" s="37">
        <f t="shared" si="25"/>
        <v>7200</v>
      </c>
      <c r="BL55" s="37"/>
      <c r="BM55" s="37">
        <f t="shared" si="26"/>
        <v>85000</v>
      </c>
      <c r="BN55" s="37">
        <f t="shared" si="27"/>
        <v>85000</v>
      </c>
      <c r="BO55" s="37">
        <f t="shared" si="28"/>
        <v>170000</v>
      </c>
      <c r="BP55" s="36"/>
      <c r="BQ55" s="36"/>
      <c r="BR55" s="36">
        <f t="shared" si="87"/>
        <v>15000</v>
      </c>
      <c r="BS55" s="36">
        <f t="shared" si="88"/>
        <v>15000</v>
      </c>
      <c r="BT55" s="37">
        <f t="shared" si="30"/>
        <v>0</v>
      </c>
      <c r="BU55" s="37">
        <f t="shared" si="89"/>
        <v>30000</v>
      </c>
      <c r="BV55" s="36"/>
      <c r="BW55" s="37">
        <f t="shared" si="31"/>
        <v>5000</v>
      </c>
      <c r="BX55" s="37">
        <f t="shared" si="32"/>
        <v>5000</v>
      </c>
      <c r="CA55" s="62">
        <f t="shared" si="33"/>
        <v>0</v>
      </c>
      <c r="CB55" s="62">
        <f t="shared" si="34"/>
        <v>7200</v>
      </c>
      <c r="CC55" s="62">
        <f t="shared" si="35"/>
        <v>0</v>
      </c>
      <c r="CD55" s="62">
        <f t="shared" si="36"/>
        <v>20000</v>
      </c>
      <c r="CE55" s="62"/>
      <c r="CF55" s="62"/>
      <c r="CG55" s="62">
        <f t="shared" si="37"/>
        <v>85000</v>
      </c>
      <c r="CH55" s="62">
        <f t="shared" si="38"/>
        <v>85000</v>
      </c>
      <c r="CI55" s="62">
        <f t="shared" si="39"/>
        <v>15000</v>
      </c>
      <c r="CJ55" s="62"/>
      <c r="CK55" s="62"/>
      <c r="CL55" s="62">
        <f t="shared" si="40"/>
        <v>0</v>
      </c>
      <c r="CM55" s="62">
        <f t="shared" si="41"/>
        <v>212200</v>
      </c>
      <c r="CN55" s="62">
        <f t="shared" si="42"/>
        <v>212200</v>
      </c>
      <c r="CO55" s="62">
        <f t="shared" si="43"/>
        <v>0</v>
      </c>
    </row>
    <row r="56" spans="1:93" s="26" customFormat="1" ht="15">
      <c r="A56" s="36">
        <v>23</v>
      </c>
      <c r="B56" s="51"/>
      <c r="C56" s="4" t="s">
        <v>31</v>
      </c>
      <c r="D56" s="10">
        <v>17570.85</v>
      </c>
      <c r="E56" s="102">
        <v>1.055</v>
      </c>
      <c r="F56" s="106">
        <v>18679</v>
      </c>
      <c r="G56" s="11">
        <f t="shared" si="75"/>
        <v>210850.2</v>
      </c>
      <c r="H56" s="10">
        <f t="shared" si="76"/>
        <v>63676.76</v>
      </c>
      <c r="I56" s="28">
        <f t="shared" si="77"/>
        <v>274526.96</v>
      </c>
      <c r="J56" s="13">
        <f t="shared" si="78"/>
        <v>74122.2792</v>
      </c>
      <c r="K56" s="10">
        <v>0</v>
      </c>
      <c r="L56" s="102">
        <v>1.055</v>
      </c>
      <c r="M56" s="10">
        <f t="shared" si="9"/>
        <v>0</v>
      </c>
      <c r="N56" s="11">
        <f t="shared" si="79"/>
        <v>0</v>
      </c>
      <c r="O56" s="10">
        <f t="shared" si="80"/>
        <v>0</v>
      </c>
      <c r="P56" s="12">
        <f t="shared" si="81"/>
        <v>0</v>
      </c>
      <c r="Q56" s="45">
        <v>0</v>
      </c>
      <c r="R56" s="10">
        <f t="shared" si="82"/>
        <v>0</v>
      </c>
      <c r="S56" s="10">
        <f t="shared" si="83"/>
        <v>0</v>
      </c>
      <c r="T56" s="44">
        <f t="shared" si="84"/>
        <v>0</v>
      </c>
      <c r="U56" s="39">
        <f t="shared" si="85"/>
        <v>0</v>
      </c>
      <c r="V56" s="44">
        <f>192858.86*12*1.302</f>
        <v>3013226.82864</v>
      </c>
      <c r="W56" s="44">
        <v>0</v>
      </c>
      <c r="X56" s="67">
        <f t="shared" si="17"/>
        <v>3087349.10784</v>
      </c>
      <c r="Y56" s="67"/>
      <c r="Z56" s="67"/>
      <c r="AA56" s="69"/>
      <c r="AB56" s="67"/>
      <c r="AC56" s="67">
        <v>12000</v>
      </c>
      <c r="AD56" s="67">
        <v>36450</v>
      </c>
      <c r="AE56" s="67">
        <v>16500</v>
      </c>
      <c r="AF56" s="67">
        <f t="shared" si="90"/>
        <v>7200</v>
      </c>
      <c r="AG56" s="67">
        <v>30000</v>
      </c>
      <c r="AH56" s="67">
        <f t="shared" si="91"/>
        <v>170000</v>
      </c>
      <c r="AI56" s="67">
        <v>5000</v>
      </c>
      <c r="AJ56" s="67"/>
      <c r="AK56" s="135">
        <f t="shared" si="18"/>
        <v>3364499.10784</v>
      </c>
      <c r="AM56" s="36">
        <v>3</v>
      </c>
      <c r="AN56" s="36">
        <v>200</v>
      </c>
      <c r="AO56" s="36">
        <f t="shared" si="49"/>
        <v>20</v>
      </c>
      <c r="AP56" s="81">
        <f t="shared" si="44"/>
        <v>12000</v>
      </c>
      <c r="AQ56" s="36">
        <f t="shared" si="45"/>
        <v>600</v>
      </c>
      <c r="AR56" s="36">
        <f t="shared" si="46"/>
        <v>1800</v>
      </c>
      <c r="AS56" s="36">
        <v>550</v>
      </c>
      <c r="AT56" s="36">
        <v>21</v>
      </c>
      <c r="AU56" s="37">
        <f t="shared" si="47"/>
        <v>34650</v>
      </c>
      <c r="AV56" s="81">
        <f t="shared" si="48"/>
        <v>36450</v>
      </c>
      <c r="AW56" s="37"/>
      <c r="AX56" s="37"/>
      <c r="AY56" s="37" t="e">
        <f>(J56+#REF!+U56+#REF!+V56+W56)/12</f>
        <v>#REF!</v>
      </c>
      <c r="BA56" s="80">
        <f t="shared" si="19"/>
        <v>0</v>
      </c>
      <c r="BC56" s="37">
        <f t="shared" si="20"/>
        <v>0</v>
      </c>
      <c r="BD56" s="37">
        <f t="shared" si="74"/>
        <v>0</v>
      </c>
      <c r="BE56" s="37"/>
      <c r="BF56" s="37">
        <f t="shared" si="21"/>
        <v>32475</v>
      </c>
      <c r="BG56" s="37">
        <f t="shared" si="22"/>
        <v>32475</v>
      </c>
      <c r="BH56" s="37">
        <f t="shared" si="23"/>
        <v>64950</v>
      </c>
      <c r="BI56" s="37"/>
      <c r="BJ56" s="37">
        <f t="shared" si="24"/>
        <v>7200</v>
      </c>
      <c r="BK56" s="37">
        <f t="shared" si="25"/>
        <v>7200</v>
      </c>
      <c r="BL56" s="37"/>
      <c r="BM56" s="37">
        <f t="shared" si="26"/>
        <v>85000</v>
      </c>
      <c r="BN56" s="37">
        <f t="shared" si="27"/>
        <v>85000</v>
      </c>
      <c r="BO56" s="37">
        <f t="shared" si="28"/>
        <v>170000</v>
      </c>
      <c r="BP56" s="36"/>
      <c r="BQ56" s="36"/>
      <c r="BR56" s="36">
        <f t="shared" si="87"/>
        <v>15000</v>
      </c>
      <c r="BS56" s="36">
        <f t="shared" si="88"/>
        <v>15000</v>
      </c>
      <c r="BT56" s="37">
        <f t="shared" si="30"/>
        <v>0</v>
      </c>
      <c r="BU56" s="37">
        <f t="shared" si="89"/>
        <v>30000</v>
      </c>
      <c r="BV56" s="36"/>
      <c r="BW56" s="37">
        <f t="shared" si="31"/>
        <v>5000</v>
      </c>
      <c r="BX56" s="37">
        <f t="shared" si="32"/>
        <v>5000</v>
      </c>
      <c r="CA56" s="62">
        <f t="shared" si="33"/>
        <v>0</v>
      </c>
      <c r="CB56" s="62">
        <f t="shared" si="34"/>
        <v>7200</v>
      </c>
      <c r="CC56" s="62">
        <f t="shared" si="35"/>
        <v>32475</v>
      </c>
      <c r="CD56" s="62">
        <f t="shared" si="36"/>
        <v>52475</v>
      </c>
      <c r="CE56" s="62"/>
      <c r="CF56" s="62"/>
      <c r="CG56" s="62">
        <f t="shared" si="37"/>
        <v>85000</v>
      </c>
      <c r="CH56" s="62">
        <f t="shared" si="38"/>
        <v>85000</v>
      </c>
      <c r="CI56" s="62">
        <f t="shared" si="39"/>
        <v>15000</v>
      </c>
      <c r="CJ56" s="62"/>
      <c r="CK56" s="62"/>
      <c r="CL56" s="62">
        <f t="shared" si="40"/>
        <v>0</v>
      </c>
      <c r="CM56" s="62">
        <f t="shared" si="41"/>
        <v>277150</v>
      </c>
      <c r="CN56" s="62">
        <f t="shared" si="42"/>
        <v>277150</v>
      </c>
      <c r="CO56" s="62">
        <f t="shared" si="43"/>
        <v>0</v>
      </c>
    </row>
    <row r="57" spans="1:93" s="26" customFormat="1" ht="15" customHeight="1">
      <c r="A57" s="36">
        <v>24</v>
      </c>
      <c r="B57" s="51"/>
      <c r="C57" s="4" t="s">
        <v>32</v>
      </c>
      <c r="D57" s="10">
        <v>26329.94</v>
      </c>
      <c r="E57" s="102">
        <v>1.055</v>
      </c>
      <c r="F57" s="10">
        <f t="shared" si="4"/>
        <v>27778.086699999996</v>
      </c>
      <c r="G57" s="11">
        <f t="shared" si="75"/>
        <v>315959.28</v>
      </c>
      <c r="H57" s="10">
        <f t="shared" si="76"/>
        <v>95419.7</v>
      </c>
      <c r="I57" s="28">
        <f t="shared" si="77"/>
        <v>411378.98000000004</v>
      </c>
      <c r="J57" s="13">
        <f t="shared" si="78"/>
        <v>111072.32460000002</v>
      </c>
      <c r="K57" s="10">
        <v>17570.85</v>
      </c>
      <c r="L57" s="102">
        <v>1.055</v>
      </c>
      <c r="M57" s="106">
        <v>18679</v>
      </c>
      <c r="N57" s="11">
        <f t="shared" si="79"/>
        <v>224148</v>
      </c>
      <c r="O57" s="10">
        <f t="shared" si="80"/>
        <v>67692.7</v>
      </c>
      <c r="P57" s="12">
        <f t="shared" si="81"/>
        <v>291840.7</v>
      </c>
      <c r="Q57" s="45">
        <v>0.5</v>
      </c>
      <c r="R57" s="10">
        <f t="shared" si="82"/>
        <v>112074</v>
      </c>
      <c r="S57" s="10">
        <f t="shared" si="83"/>
        <v>33846.35</v>
      </c>
      <c r="T57" s="44">
        <f t="shared" si="84"/>
        <v>145920.35</v>
      </c>
      <c r="U57" s="39">
        <f t="shared" si="85"/>
        <v>145920.35</v>
      </c>
      <c r="V57" s="44">
        <f>376774.87*12*1.302</f>
        <v>5886730.568879999</v>
      </c>
      <c r="W57" s="44">
        <v>0</v>
      </c>
      <c r="X57" s="67">
        <f t="shared" si="17"/>
        <v>6435563.943479999</v>
      </c>
      <c r="Y57" s="67"/>
      <c r="Z57" s="67"/>
      <c r="AA57" s="69"/>
      <c r="AB57" s="67"/>
      <c r="AC57" s="67">
        <v>28000</v>
      </c>
      <c r="AD57" s="67">
        <v>85050</v>
      </c>
      <c r="AE57" s="67">
        <v>38500</v>
      </c>
      <c r="AF57" s="67">
        <f t="shared" si="90"/>
        <v>7200</v>
      </c>
      <c r="AG57" s="67">
        <v>30000</v>
      </c>
      <c r="AH57" s="67">
        <f t="shared" si="91"/>
        <v>170000</v>
      </c>
      <c r="AI57" s="67">
        <v>5000</v>
      </c>
      <c r="AJ57" s="67">
        <v>643884.56</v>
      </c>
      <c r="AK57" s="135">
        <f t="shared" si="18"/>
        <v>7443198.503479999</v>
      </c>
      <c r="AM57" s="36">
        <v>7</v>
      </c>
      <c r="AN57" s="36">
        <v>200</v>
      </c>
      <c r="AO57" s="36">
        <f t="shared" si="49"/>
        <v>20</v>
      </c>
      <c r="AP57" s="81">
        <f t="shared" si="44"/>
        <v>28000</v>
      </c>
      <c r="AQ57" s="36">
        <f t="shared" si="45"/>
        <v>600</v>
      </c>
      <c r="AR57" s="36">
        <f t="shared" si="46"/>
        <v>4200</v>
      </c>
      <c r="AS57" s="36">
        <v>550</v>
      </c>
      <c r="AT57" s="36">
        <v>21</v>
      </c>
      <c r="AU57" s="37">
        <f t="shared" si="47"/>
        <v>80850</v>
      </c>
      <c r="AV57" s="81">
        <f t="shared" si="48"/>
        <v>85050</v>
      </c>
      <c r="AW57" s="37"/>
      <c r="AX57" s="37"/>
      <c r="AY57" s="37" t="e">
        <f>(J57+#REF!+U57+#REF!+V57+W57)/12</f>
        <v>#REF!</v>
      </c>
      <c r="BA57" s="80">
        <f t="shared" si="19"/>
        <v>0</v>
      </c>
      <c r="BC57" s="37">
        <f t="shared" si="20"/>
        <v>0</v>
      </c>
      <c r="BD57" s="37">
        <f t="shared" si="74"/>
        <v>0</v>
      </c>
      <c r="BE57" s="37"/>
      <c r="BF57" s="37">
        <f t="shared" si="21"/>
        <v>75775</v>
      </c>
      <c r="BG57" s="37">
        <f t="shared" si="22"/>
        <v>75775</v>
      </c>
      <c r="BH57" s="37">
        <f t="shared" si="23"/>
        <v>151550</v>
      </c>
      <c r="BI57" s="37"/>
      <c r="BJ57" s="37">
        <f t="shared" si="24"/>
        <v>7200</v>
      </c>
      <c r="BK57" s="37">
        <f t="shared" si="25"/>
        <v>7200</v>
      </c>
      <c r="BL57" s="37"/>
      <c r="BM57" s="37">
        <f t="shared" si="26"/>
        <v>85000</v>
      </c>
      <c r="BN57" s="37">
        <f t="shared" si="27"/>
        <v>85000</v>
      </c>
      <c r="BO57" s="37">
        <f t="shared" si="28"/>
        <v>170000</v>
      </c>
      <c r="BP57" s="36"/>
      <c r="BQ57" s="36"/>
      <c r="BR57" s="36">
        <f t="shared" si="87"/>
        <v>15000</v>
      </c>
      <c r="BS57" s="36">
        <f t="shared" si="88"/>
        <v>15000</v>
      </c>
      <c r="BT57" s="37">
        <f t="shared" si="30"/>
        <v>643884.56</v>
      </c>
      <c r="BU57" s="37">
        <f t="shared" si="89"/>
        <v>673884.56</v>
      </c>
      <c r="BV57" s="36"/>
      <c r="BW57" s="37">
        <f t="shared" si="31"/>
        <v>5000</v>
      </c>
      <c r="BX57" s="37">
        <f t="shared" si="32"/>
        <v>5000</v>
      </c>
      <c r="CA57" s="62">
        <f t="shared" si="33"/>
        <v>0</v>
      </c>
      <c r="CB57" s="62">
        <f t="shared" si="34"/>
        <v>7200</v>
      </c>
      <c r="CC57" s="62">
        <f t="shared" si="35"/>
        <v>75775</v>
      </c>
      <c r="CD57" s="62">
        <f t="shared" si="36"/>
        <v>95775</v>
      </c>
      <c r="CE57" s="62"/>
      <c r="CF57" s="62"/>
      <c r="CG57" s="62">
        <f t="shared" si="37"/>
        <v>85000</v>
      </c>
      <c r="CH57" s="62">
        <f t="shared" si="38"/>
        <v>85000</v>
      </c>
      <c r="CI57" s="62">
        <f t="shared" si="39"/>
        <v>15000</v>
      </c>
      <c r="CJ57" s="62"/>
      <c r="CK57" s="62"/>
      <c r="CL57" s="62">
        <f t="shared" si="40"/>
        <v>643884.56</v>
      </c>
      <c r="CM57" s="62">
        <f t="shared" si="41"/>
        <v>1007634.56</v>
      </c>
      <c r="CN57" s="62">
        <f t="shared" si="42"/>
        <v>1007634.56</v>
      </c>
      <c r="CO57" s="62">
        <f t="shared" si="43"/>
        <v>0</v>
      </c>
    </row>
    <row r="58" spans="1:93" s="26" customFormat="1" ht="15" customHeight="1">
      <c r="A58" s="36">
        <v>25</v>
      </c>
      <c r="B58" s="51"/>
      <c r="C58" s="4" t="s">
        <v>33</v>
      </c>
      <c r="D58" s="10">
        <v>18773.52</v>
      </c>
      <c r="E58" s="102">
        <v>1.055</v>
      </c>
      <c r="F58" s="10">
        <f t="shared" si="4"/>
        <v>19806.063599999998</v>
      </c>
      <c r="G58" s="11">
        <f t="shared" si="75"/>
        <v>225282.24</v>
      </c>
      <c r="H58" s="10">
        <f t="shared" si="76"/>
        <v>68035.24</v>
      </c>
      <c r="I58" s="28">
        <f t="shared" si="77"/>
        <v>293317.48</v>
      </c>
      <c r="J58" s="13">
        <f t="shared" si="78"/>
        <v>79195.7196</v>
      </c>
      <c r="K58" s="10">
        <v>8785.43</v>
      </c>
      <c r="L58" s="102">
        <v>1.055</v>
      </c>
      <c r="M58" s="106">
        <v>9339.5</v>
      </c>
      <c r="N58" s="11">
        <f t="shared" si="79"/>
        <v>112074</v>
      </c>
      <c r="O58" s="10">
        <f t="shared" si="80"/>
        <v>33846.35</v>
      </c>
      <c r="P58" s="12">
        <f t="shared" si="81"/>
        <v>145920.35</v>
      </c>
      <c r="Q58" s="45">
        <v>0.25</v>
      </c>
      <c r="R58" s="10">
        <f t="shared" si="82"/>
        <v>56037</v>
      </c>
      <c r="S58" s="10">
        <f t="shared" si="83"/>
        <v>16923.17</v>
      </c>
      <c r="T58" s="44">
        <f t="shared" si="84"/>
        <v>72960.17</v>
      </c>
      <c r="U58" s="39">
        <f t="shared" si="85"/>
        <v>72960.17</v>
      </c>
      <c r="V58" s="44">
        <f>285372.52*12*1.302</f>
        <v>4458660.25248</v>
      </c>
      <c r="W58" s="44">
        <v>0</v>
      </c>
      <c r="X58" s="67">
        <f t="shared" si="17"/>
        <v>4756736.49208</v>
      </c>
      <c r="Y58" s="67"/>
      <c r="Z58" s="67"/>
      <c r="AA58" s="69"/>
      <c r="AB58" s="67"/>
      <c r="AC58" s="67">
        <v>28000</v>
      </c>
      <c r="AD58" s="67">
        <v>85050</v>
      </c>
      <c r="AE58" s="67">
        <v>38500</v>
      </c>
      <c r="AF58" s="67">
        <f t="shared" si="90"/>
        <v>7200</v>
      </c>
      <c r="AG58" s="67">
        <v>30000</v>
      </c>
      <c r="AH58" s="67">
        <f t="shared" si="91"/>
        <v>170000</v>
      </c>
      <c r="AI58" s="67">
        <v>5000</v>
      </c>
      <c r="AJ58" s="67"/>
      <c r="AK58" s="135">
        <f t="shared" si="18"/>
        <v>5120486.49208</v>
      </c>
      <c r="AM58" s="36">
        <v>7</v>
      </c>
      <c r="AN58" s="36">
        <v>200</v>
      </c>
      <c r="AO58" s="36">
        <f t="shared" si="49"/>
        <v>20</v>
      </c>
      <c r="AP58" s="81">
        <f t="shared" si="44"/>
        <v>28000</v>
      </c>
      <c r="AQ58" s="36">
        <f t="shared" si="45"/>
        <v>600</v>
      </c>
      <c r="AR58" s="36">
        <f t="shared" si="46"/>
        <v>4200</v>
      </c>
      <c r="AS58" s="36">
        <v>550</v>
      </c>
      <c r="AT58" s="36">
        <v>21</v>
      </c>
      <c r="AU58" s="37">
        <f t="shared" si="47"/>
        <v>80850</v>
      </c>
      <c r="AV58" s="81">
        <f t="shared" si="48"/>
        <v>85050</v>
      </c>
      <c r="AW58" s="37"/>
      <c r="AX58" s="37"/>
      <c r="AY58" s="37" t="e">
        <f>(J58+#REF!+U58+#REF!+V58+W58)/12</f>
        <v>#REF!</v>
      </c>
      <c r="BA58" s="80">
        <f t="shared" si="19"/>
        <v>0</v>
      </c>
      <c r="BC58" s="37">
        <f t="shared" si="20"/>
        <v>0</v>
      </c>
      <c r="BD58" s="37">
        <f t="shared" si="74"/>
        <v>0</v>
      </c>
      <c r="BE58" s="37"/>
      <c r="BF58" s="37">
        <f t="shared" si="21"/>
        <v>75775</v>
      </c>
      <c r="BG58" s="37">
        <f t="shared" si="22"/>
        <v>75775</v>
      </c>
      <c r="BH58" s="37">
        <f t="shared" si="23"/>
        <v>151550</v>
      </c>
      <c r="BI58" s="37"/>
      <c r="BJ58" s="37">
        <f t="shared" si="24"/>
        <v>7200</v>
      </c>
      <c r="BK58" s="37">
        <f t="shared" si="25"/>
        <v>7200</v>
      </c>
      <c r="BL58" s="37"/>
      <c r="BM58" s="37">
        <f t="shared" si="26"/>
        <v>85000</v>
      </c>
      <c r="BN58" s="37">
        <f t="shared" si="27"/>
        <v>85000</v>
      </c>
      <c r="BO58" s="37">
        <f t="shared" si="28"/>
        <v>170000</v>
      </c>
      <c r="BP58" s="36"/>
      <c r="BQ58" s="36"/>
      <c r="BR58" s="36">
        <f t="shared" si="87"/>
        <v>15000</v>
      </c>
      <c r="BS58" s="36">
        <f t="shared" si="88"/>
        <v>15000</v>
      </c>
      <c r="BT58" s="37">
        <f t="shared" si="30"/>
        <v>0</v>
      </c>
      <c r="BU58" s="37">
        <f t="shared" si="89"/>
        <v>30000</v>
      </c>
      <c r="BV58" s="36"/>
      <c r="BW58" s="37">
        <f t="shared" si="31"/>
        <v>5000</v>
      </c>
      <c r="BX58" s="37">
        <f t="shared" si="32"/>
        <v>5000</v>
      </c>
      <c r="CA58" s="62">
        <f t="shared" si="33"/>
        <v>0</v>
      </c>
      <c r="CB58" s="62">
        <f t="shared" si="34"/>
        <v>7200</v>
      </c>
      <c r="CC58" s="62">
        <f t="shared" si="35"/>
        <v>75775</v>
      </c>
      <c r="CD58" s="62">
        <f t="shared" si="36"/>
        <v>95775</v>
      </c>
      <c r="CE58" s="62"/>
      <c r="CF58" s="62"/>
      <c r="CG58" s="62">
        <f t="shared" si="37"/>
        <v>85000</v>
      </c>
      <c r="CH58" s="62">
        <f t="shared" si="38"/>
        <v>85000</v>
      </c>
      <c r="CI58" s="62">
        <f t="shared" si="39"/>
        <v>15000</v>
      </c>
      <c r="CJ58" s="62"/>
      <c r="CK58" s="62"/>
      <c r="CL58" s="62">
        <f t="shared" si="40"/>
        <v>0</v>
      </c>
      <c r="CM58" s="62">
        <f t="shared" si="41"/>
        <v>363750</v>
      </c>
      <c r="CN58" s="62">
        <f t="shared" si="42"/>
        <v>363750</v>
      </c>
      <c r="CO58" s="62">
        <f t="shared" si="43"/>
        <v>0</v>
      </c>
    </row>
    <row r="59" spans="1:93" s="26" customFormat="1" ht="15">
      <c r="A59" s="36">
        <v>26</v>
      </c>
      <c r="B59" s="51"/>
      <c r="C59" s="4" t="s">
        <v>40</v>
      </c>
      <c r="D59" s="10">
        <v>21227.505</v>
      </c>
      <c r="E59" s="102">
        <v>1.055</v>
      </c>
      <c r="F59" s="10">
        <f t="shared" si="4"/>
        <v>22395.017775</v>
      </c>
      <c r="G59" s="11">
        <f t="shared" si="75"/>
        <v>254730.06</v>
      </c>
      <c r="H59" s="10">
        <f t="shared" si="76"/>
        <v>76928.48</v>
      </c>
      <c r="I59" s="28">
        <f t="shared" si="77"/>
        <v>331658.54</v>
      </c>
      <c r="J59" s="13">
        <f t="shared" si="78"/>
        <v>89547.8058</v>
      </c>
      <c r="K59" s="10">
        <v>8785.43</v>
      </c>
      <c r="L59" s="102">
        <v>1.055</v>
      </c>
      <c r="M59" s="106">
        <v>9339.5</v>
      </c>
      <c r="N59" s="11">
        <f t="shared" si="79"/>
        <v>112074</v>
      </c>
      <c r="O59" s="10">
        <f t="shared" si="80"/>
        <v>33846.35</v>
      </c>
      <c r="P59" s="12">
        <f t="shared" si="81"/>
        <v>145920.35</v>
      </c>
      <c r="Q59" s="45">
        <v>0.5</v>
      </c>
      <c r="R59" s="10">
        <f t="shared" si="82"/>
        <v>112074</v>
      </c>
      <c r="S59" s="10">
        <f t="shared" si="83"/>
        <v>33846.35</v>
      </c>
      <c r="T59" s="44">
        <f t="shared" si="84"/>
        <v>145920.35</v>
      </c>
      <c r="U59" s="39">
        <f t="shared" si="85"/>
        <v>145920.35</v>
      </c>
      <c r="V59" s="44">
        <f>324628.56*12*1.302</f>
        <v>5071996.62144</v>
      </c>
      <c r="W59" s="44">
        <v>0</v>
      </c>
      <c r="X59" s="67">
        <f t="shared" si="17"/>
        <v>5453385.127239999</v>
      </c>
      <c r="Y59" s="67"/>
      <c r="Z59" s="67"/>
      <c r="AA59" s="69"/>
      <c r="AB59" s="67"/>
      <c r="AC59" s="67">
        <v>16000</v>
      </c>
      <c r="AD59" s="67">
        <v>48600</v>
      </c>
      <c r="AE59" s="67">
        <v>22000</v>
      </c>
      <c r="AF59" s="67">
        <f t="shared" si="90"/>
        <v>7200</v>
      </c>
      <c r="AG59" s="67">
        <v>30000</v>
      </c>
      <c r="AH59" s="67">
        <f t="shared" si="91"/>
        <v>170000</v>
      </c>
      <c r="AI59" s="67">
        <v>5000</v>
      </c>
      <c r="AJ59" s="67"/>
      <c r="AK59" s="135">
        <f t="shared" si="18"/>
        <v>5752185.127239999</v>
      </c>
      <c r="AM59" s="36">
        <v>4</v>
      </c>
      <c r="AN59" s="36">
        <v>200</v>
      </c>
      <c r="AO59" s="36">
        <v>20</v>
      </c>
      <c r="AP59" s="81">
        <f t="shared" si="44"/>
        <v>16000</v>
      </c>
      <c r="AQ59" s="36">
        <f t="shared" si="45"/>
        <v>600</v>
      </c>
      <c r="AR59" s="36">
        <f t="shared" si="46"/>
        <v>2400</v>
      </c>
      <c r="AS59" s="36">
        <v>550</v>
      </c>
      <c r="AT59" s="36">
        <v>21</v>
      </c>
      <c r="AU59" s="37">
        <f t="shared" si="47"/>
        <v>46200</v>
      </c>
      <c r="AV59" s="81">
        <f t="shared" si="48"/>
        <v>48600</v>
      </c>
      <c r="AW59" s="37"/>
      <c r="AX59" s="37"/>
      <c r="AY59" s="37" t="e">
        <f>(J59+#REF!+U59+#REF!+V59+W59)/12</f>
        <v>#REF!</v>
      </c>
      <c r="BA59" s="80">
        <f t="shared" si="19"/>
        <v>0</v>
      </c>
      <c r="BC59" s="37">
        <f t="shared" si="20"/>
        <v>0</v>
      </c>
      <c r="BD59" s="37">
        <f t="shared" si="74"/>
        <v>0</v>
      </c>
      <c r="BE59" s="37"/>
      <c r="BF59" s="37">
        <f t="shared" si="21"/>
        <v>43300</v>
      </c>
      <c r="BG59" s="37">
        <f t="shared" si="22"/>
        <v>43300</v>
      </c>
      <c r="BH59" s="37">
        <f t="shared" si="23"/>
        <v>86600</v>
      </c>
      <c r="BI59" s="37"/>
      <c r="BJ59" s="37">
        <f t="shared" si="24"/>
        <v>7200</v>
      </c>
      <c r="BK59" s="37">
        <f t="shared" si="25"/>
        <v>7200</v>
      </c>
      <c r="BL59" s="37"/>
      <c r="BM59" s="37">
        <f t="shared" si="26"/>
        <v>85000</v>
      </c>
      <c r="BN59" s="37">
        <f t="shared" si="27"/>
        <v>85000</v>
      </c>
      <c r="BO59" s="37">
        <f t="shared" si="28"/>
        <v>170000</v>
      </c>
      <c r="BP59" s="36"/>
      <c r="BQ59" s="36"/>
      <c r="BR59" s="36">
        <f t="shared" si="87"/>
        <v>15000</v>
      </c>
      <c r="BS59" s="36">
        <f t="shared" si="88"/>
        <v>15000</v>
      </c>
      <c r="BT59" s="37">
        <f t="shared" si="30"/>
        <v>0</v>
      </c>
      <c r="BU59" s="37">
        <f t="shared" si="89"/>
        <v>30000</v>
      </c>
      <c r="BV59" s="36"/>
      <c r="BW59" s="37">
        <f t="shared" si="31"/>
        <v>5000</v>
      </c>
      <c r="BX59" s="37">
        <f t="shared" si="32"/>
        <v>5000</v>
      </c>
      <c r="CA59" s="62">
        <f t="shared" si="33"/>
        <v>0</v>
      </c>
      <c r="CB59" s="62">
        <f t="shared" si="34"/>
        <v>7200</v>
      </c>
      <c r="CC59" s="62">
        <f t="shared" si="35"/>
        <v>43300</v>
      </c>
      <c r="CD59" s="62">
        <f t="shared" si="36"/>
        <v>63300</v>
      </c>
      <c r="CE59" s="62"/>
      <c r="CF59" s="62"/>
      <c r="CG59" s="62">
        <f t="shared" si="37"/>
        <v>85000</v>
      </c>
      <c r="CH59" s="62">
        <f t="shared" si="38"/>
        <v>85000</v>
      </c>
      <c r="CI59" s="62">
        <f t="shared" si="39"/>
        <v>15000</v>
      </c>
      <c r="CJ59" s="62"/>
      <c r="CK59" s="62"/>
      <c r="CL59" s="62">
        <f t="shared" si="40"/>
        <v>0</v>
      </c>
      <c r="CM59" s="62">
        <f t="shared" si="41"/>
        <v>298800</v>
      </c>
      <c r="CN59" s="62">
        <f t="shared" si="42"/>
        <v>298800</v>
      </c>
      <c r="CO59" s="62">
        <f t="shared" si="43"/>
        <v>0</v>
      </c>
    </row>
    <row r="60" spans="1:93" s="26" customFormat="1" ht="15" customHeight="1">
      <c r="A60" s="36">
        <v>27</v>
      </c>
      <c r="B60" s="51"/>
      <c r="C60" s="4" t="s">
        <v>34</v>
      </c>
      <c r="D60" s="10">
        <v>17570.85</v>
      </c>
      <c r="E60" s="102">
        <v>1.055</v>
      </c>
      <c r="F60" s="106">
        <v>18679</v>
      </c>
      <c r="G60" s="11">
        <f t="shared" si="75"/>
        <v>210850.2</v>
      </c>
      <c r="H60" s="10">
        <f t="shared" si="76"/>
        <v>63676.76</v>
      </c>
      <c r="I60" s="28">
        <f t="shared" si="77"/>
        <v>274526.96</v>
      </c>
      <c r="J60" s="13">
        <f t="shared" si="78"/>
        <v>74122.2792</v>
      </c>
      <c r="K60" s="10">
        <v>0</v>
      </c>
      <c r="L60" s="102">
        <v>1.055</v>
      </c>
      <c r="M60" s="10">
        <f t="shared" si="9"/>
        <v>0</v>
      </c>
      <c r="N60" s="11">
        <f t="shared" si="79"/>
        <v>0</v>
      </c>
      <c r="O60" s="10">
        <f t="shared" si="80"/>
        <v>0</v>
      </c>
      <c r="P60" s="12">
        <f t="shared" si="81"/>
        <v>0</v>
      </c>
      <c r="Q60" s="45">
        <v>0</v>
      </c>
      <c r="R60" s="10">
        <f t="shared" si="82"/>
        <v>0</v>
      </c>
      <c r="S60" s="10">
        <f t="shared" si="83"/>
        <v>0</v>
      </c>
      <c r="T60" s="44">
        <f t="shared" si="84"/>
        <v>0</v>
      </c>
      <c r="U60" s="39">
        <f t="shared" si="85"/>
        <v>0</v>
      </c>
      <c r="V60" s="44">
        <f>109291.66*12*1.302</f>
        <v>1707572.89584</v>
      </c>
      <c r="W60" s="44">
        <v>0</v>
      </c>
      <c r="X60" s="67">
        <f t="shared" si="17"/>
        <v>1781695.17504</v>
      </c>
      <c r="Y60" s="67"/>
      <c r="Z60" s="67"/>
      <c r="AA60" s="69"/>
      <c r="AB60" s="67"/>
      <c r="AC60" s="67">
        <v>8000</v>
      </c>
      <c r="AD60" s="67">
        <v>24300</v>
      </c>
      <c r="AE60" s="67">
        <v>11000</v>
      </c>
      <c r="AF60" s="67">
        <f t="shared" si="90"/>
        <v>7200</v>
      </c>
      <c r="AG60" s="67">
        <v>30000</v>
      </c>
      <c r="AH60" s="67">
        <f t="shared" si="91"/>
        <v>170000</v>
      </c>
      <c r="AI60" s="67">
        <v>5000</v>
      </c>
      <c r="AJ60" s="67"/>
      <c r="AK60" s="135">
        <f t="shared" si="18"/>
        <v>2037195.17504</v>
      </c>
      <c r="AM60" s="36">
        <v>2</v>
      </c>
      <c r="AN60" s="36">
        <v>200</v>
      </c>
      <c r="AO60" s="36">
        <f t="shared" si="49"/>
        <v>20</v>
      </c>
      <c r="AP60" s="81">
        <f t="shared" si="44"/>
        <v>8000</v>
      </c>
      <c r="AQ60" s="36">
        <f t="shared" si="45"/>
        <v>600</v>
      </c>
      <c r="AR60" s="36">
        <f t="shared" si="46"/>
        <v>1200</v>
      </c>
      <c r="AS60" s="36">
        <v>550</v>
      </c>
      <c r="AT60" s="36">
        <v>21</v>
      </c>
      <c r="AU60" s="37">
        <f t="shared" si="47"/>
        <v>23100</v>
      </c>
      <c r="AV60" s="81">
        <f t="shared" si="48"/>
        <v>24300</v>
      </c>
      <c r="AW60" s="37"/>
      <c r="AX60" s="37"/>
      <c r="AY60" s="37" t="e">
        <f>(J60+#REF!+U60+#REF!+V60+W60)/12</f>
        <v>#REF!</v>
      </c>
      <c r="BA60" s="80">
        <f t="shared" si="19"/>
        <v>0</v>
      </c>
      <c r="BC60" s="37">
        <f t="shared" si="20"/>
        <v>0</v>
      </c>
      <c r="BD60" s="37">
        <f t="shared" si="74"/>
        <v>0</v>
      </c>
      <c r="BE60" s="37"/>
      <c r="BF60" s="37">
        <f t="shared" si="21"/>
        <v>21650</v>
      </c>
      <c r="BG60" s="37">
        <f t="shared" si="22"/>
        <v>21650</v>
      </c>
      <c r="BH60" s="37">
        <f t="shared" si="23"/>
        <v>43300</v>
      </c>
      <c r="BI60" s="37"/>
      <c r="BJ60" s="37">
        <f t="shared" si="24"/>
        <v>7200</v>
      </c>
      <c r="BK60" s="37">
        <f t="shared" si="25"/>
        <v>7200</v>
      </c>
      <c r="BL60" s="37"/>
      <c r="BM60" s="37">
        <f t="shared" si="26"/>
        <v>85000</v>
      </c>
      <c r="BN60" s="37">
        <f t="shared" si="27"/>
        <v>85000</v>
      </c>
      <c r="BO60" s="37">
        <f t="shared" si="28"/>
        <v>170000</v>
      </c>
      <c r="BP60" s="36"/>
      <c r="BQ60" s="36"/>
      <c r="BR60" s="36">
        <f t="shared" si="87"/>
        <v>15000</v>
      </c>
      <c r="BS60" s="36">
        <f t="shared" si="88"/>
        <v>15000</v>
      </c>
      <c r="BT60" s="37">
        <f t="shared" si="30"/>
        <v>0</v>
      </c>
      <c r="BU60" s="37">
        <f t="shared" si="89"/>
        <v>30000</v>
      </c>
      <c r="BV60" s="36"/>
      <c r="BW60" s="37">
        <f t="shared" si="31"/>
        <v>5000</v>
      </c>
      <c r="BX60" s="37">
        <f t="shared" si="32"/>
        <v>5000</v>
      </c>
      <c r="CA60" s="62">
        <f t="shared" si="33"/>
        <v>0</v>
      </c>
      <c r="CB60" s="62">
        <f t="shared" si="34"/>
        <v>7200</v>
      </c>
      <c r="CC60" s="62">
        <f t="shared" si="35"/>
        <v>21650</v>
      </c>
      <c r="CD60" s="62">
        <f t="shared" si="36"/>
        <v>41650</v>
      </c>
      <c r="CE60" s="62"/>
      <c r="CF60" s="62"/>
      <c r="CG60" s="62">
        <f t="shared" si="37"/>
        <v>85000</v>
      </c>
      <c r="CH60" s="62">
        <f t="shared" si="38"/>
        <v>85000</v>
      </c>
      <c r="CI60" s="62">
        <f t="shared" si="39"/>
        <v>15000</v>
      </c>
      <c r="CJ60" s="62"/>
      <c r="CK60" s="62"/>
      <c r="CL60" s="62">
        <f t="shared" si="40"/>
        <v>0</v>
      </c>
      <c r="CM60" s="62">
        <f t="shared" si="41"/>
        <v>255500</v>
      </c>
      <c r="CN60" s="62">
        <f t="shared" si="42"/>
        <v>255500</v>
      </c>
      <c r="CO60" s="62">
        <f t="shared" si="43"/>
        <v>0</v>
      </c>
    </row>
    <row r="61" spans="1:93" s="26" customFormat="1" ht="15" customHeight="1">
      <c r="A61" s="36">
        <v>28</v>
      </c>
      <c r="B61" s="51"/>
      <c r="C61" s="4" t="s">
        <v>35</v>
      </c>
      <c r="D61" s="10">
        <v>17962.08</v>
      </c>
      <c r="E61" s="102">
        <v>1.055</v>
      </c>
      <c r="F61" s="10">
        <f t="shared" si="4"/>
        <v>18949.9944</v>
      </c>
      <c r="G61" s="11">
        <f t="shared" si="75"/>
        <v>215544.96</v>
      </c>
      <c r="H61" s="10">
        <f t="shared" si="76"/>
        <v>65094.58</v>
      </c>
      <c r="I61" s="28">
        <f t="shared" si="77"/>
        <v>280639.54</v>
      </c>
      <c r="J61" s="13">
        <f t="shared" si="78"/>
        <v>75772.6758</v>
      </c>
      <c r="K61" s="10">
        <v>8785.43</v>
      </c>
      <c r="L61" s="102">
        <v>1.055</v>
      </c>
      <c r="M61" s="106">
        <v>9339.5</v>
      </c>
      <c r="N61" s="11">
        <f t="shared" si="79"/>
        <v>112074</v>
      </c>
      <c r="O61" s="10">
        <f t="shared" si="80"/>
        <v>33846.35</v>
      </c>
      <c r="P61" s="12">
        <f t="shared" si="81"/>
        <v>145920.35</v>
      </c>
      <c r="Q61" s="45">
        <v>0</v>
      </c>
      <c r="R61" s="10">
        <f t="shared" si="82"/>
        <v>0</v>
      </c>
      <c r="S61" s="10">
        <f t="shared" si="83"/>
        <v>0</v>
      </c>
      <c r="T61" s="44">
        <f t="shared" si="84"/>
        <v>0</v>
      </c>
      <c r="U61" s="39">
        <f t="shared" si="85"/>
        <v>0</v>
      </c>
      <c r="V61" s="44">
        <f>154076.31*12*1.302</f>
        <v>2407288.26744</v>
      </c>
      <c r="W61" s="44">
        <v>0</v>
      </c>
      <c r="X61" s="67">
        <f t="shared" si="17"/>
        <v>2628981.29324</v>
      </c>
      <c r="Y61" s="67"/>
      <c r="Z61" s="67"/>
      <c r="AA61" s="69"/>
      <c r="AB61" s="67"/>
      <c r="AC61" s="67">
        <v>12000</v>
      </c>
      <c r="AD61" s="67">
        <v>36450</v>
      </c>
      <c r="AE61" s="67">
        <v>16500</v>
      </c>
      <c r="AF61" s="67">
        <f t="shared" si="90"/>
        <v>7200</v>
      </c>
      <c r="AG61" s="67">
        <v>30000</v>
      </c>
      <c r="AH61" s="67">
        <f t="shared" si="91"/>
        <v>170000</v>
      </c>
      <c r="AI61" s="67">
        <v>5000</v>
      </c>
      <c r="AJ61" s="67"/>
      <c r="AK61" s="135">
        <f t="shared" si="18"/>
        <v>2906131.29324</v>
      </c>
      <c r="AM61" s="36">
        <v>3</v>
      </c>
      <c r="AN61" s="36">
        <v>200</v>
      </c>
      <c r="AO61" s="36">
        <f t="shared" si="49"/>
        <v>20</v>
      </c>
      <c r="AP61" s="81">
        <f t="shared" si="44"/>
        <v>12000</v>
      </c>
      <c r="AQ61" s="36">
        <f t="shared" si="45"/>
        <v>600</v>
      </c>
      <c r="AR61" s="36">
        <f t="shared" si="46"/>
        <v>1800</v>
      </c>
      <c r="AS61" s="36">
        <v>550</v>
      </c>
      <c r="AT61" s="36">
        <v>21</v>
      </c>
      <c r="AU61" s="37">
        <f t="shared" si="47"/>
        <v>34650</v>
      </c>
      <c r="AV61" s="81">
        <f t="shared" si="48"/>
        <v>36450</v>
      </c>
      <c r="AW61" s="37"/>
      <c r="AX61" s="37"/>
      <c r="AY61" s="37" t="e">
        <f>(J61+#REF!+U61+#REF!+V61+W61)/12</f>
        <v>#REF!</v>
      </c>
      <c r="BA61" s="80">
        <f t="shared" si="19"/>
        <v>0</v>
      </c>
      <c r="BC61" s="37">
        <f t="shared" si="20"/>
        <v>0</v>
      </c>
      <c r="BD61" s="37">
        <f t="shared" si="74"/>
        <v>0</v>
      </c>
      <c r="BE61" s="37"/>
      <c r="BF61" s="37">
        <f t="shared" si="21"/>
        <v>32475</v>
      </c>
      <c r="BG61" s="37">
        <f t="shared" si="22"/>
        <v>32475</v>
      </c>
      <c r="BH61" s="37">
        <f t="shared" si="23"/>
        <v>64950</v>
      </c>
      <c r="BI61" s="37"/>
      <c r="BJ61" s="37">
        <f t="shared" si="24"/>
        <v>7200</v>
      </c>
      <c r="BK61" s="37">
        <f t="shared" si="25"/>
        <v>7200</v>
      </c>
      <c r="BL61" s="37"/>
      <c r="BM61" s="37">
        <f t="shared" si="26"/>
        <v>85000</v>
      </c>
      <c r="BN61" s="37">
        <f t="shared" si="27"/>
        <v>85000</v>
      </c>
      <c r="BO61" s="37">
        <f t="shared" si="28"/>
        <v>170000</v>
      </c>
      <c r="BP61" s="36"/>
      <c r="BQ61" s="36"/>
      <c r="BR61" s="36">
        <f t="shared" si="87"/>
        <v>15000</v>
      </c>
      <c r="BS61" s="36">
        <f t="shared" si="88"/>
        <v>15000</v>
      </c>
      <c r="BT61" s="37">
        <f t="shared" si="30"/>
        <v>0</v>
      </c>
      <c r="BU61" s="37">
        <f t="shared" si="89"/>
        <v>30000</v>
      </c>
      <c r="BV61" s="36"/>
      <c r="BW61" s="37">
        <f t="shared" si="31"/>
        <v>5000</v>
      </c>
      <c r="BX61" s="37">
        <f t="shared" si="32"/>
        <v>5000</v>
      </c>
      <c r="CA61" s="62">
        <f t="shared" si="33"/>
        <v>0</v>
      </c>
      <c r="CB61" s="62">
        <f t="shared" si="34"/>
        <v>7200</v>
      </c>
      <c r="CC61" s="62">
        <f t="shared" si="35"/>
        <v>32475</v>
      </c>
      <c r="CD61" s="62">
        <f t="shared" si="36"/>
        <v>52475</v>
      </c>
      <c r="CE61" s="62"/>
      <c r="CF61" s="62"/>
      <c r="CG61" s="62">
        <f t="shared" si="37"/>
        <v>85000</v>
      </c>
      <c r="CH61" s="62">
        <f t="shared" si="38"/>
        <v>85000</v>
      </c>
      <c r="CI61" s="62">
        <f t="shared" si="39"/>
        <v>15000</v>
      </c>
      <c r="CJ61" s="62"/>
      <c r="CK61" s="62"/>
      <c r="CL61" s="62">
        <f t="shared" si="40"/>
        <v>0</v>
      </c>
      <c r="CM61" s="62">
        <f t="shared" si="41"/>
        <v>277150</v>
      </c>
      <c r="CN61" s="62">
        <f t="shared" si="42"/>
        <v>277150</v>
      </c>
      <c r="CO61" s="62">
        <f t="shared" si="43"/>
        <v>0</v>
      </c>
    </row>
    <row r="62" spans="1:93" s="26" customFormat="1" ht="15">
      <c r="A62" s="36">
        <v>29</v>
      </c>
      <c r="B62" s="51"/>
      <c r="C62" s="4" t="s">
        <v>36</v>
      </c>
      <c r="D62" s="10">
        <v>17570.85</v>
      </c>
      <c r="E62" s="102">
        <v>1.055</v>
      </c>
      <c r="F62" s="106">
        <v>18679</v>
      </c>
      <c r="G62" s="11">
        <f t="shared" si="75"/>
        <v>210850.2</v>
      </c>
      <c r="H62" s="10">
        <f t="shared" si="76"/>
        <v>63676.76</v>
      </c>
      <c r="I62" s="28">
        <f t="shared" si="77"/>
        <v>274526.96</v>
      </c>
      <c r="J62" s="13">
        <f t="shared" si="78"/>
        <v>74122.2792</v>
      </c>
      <c r="K62" s="10">
        <v>0</v>
      </c>
      <c r="L62" s="102">
        <v>1.055</v>
      </c>
      <c r="M62" s="10">
        <f t="shared" si="9"/>
        <v>0</v>
      </c>
      <c r="N62" s="11">
        <f t="shared" si="79"/>
        <v>0</v>
      </c>
      <c r="O62" s="10">
        <f t="shared" si="80"/>
        <v>0</v>
      </c>
      <c r="P62" s="12">
        <f t="shared" si="81"/>
        <v>0</v>
      </c>
      <c r="Q62" s="45">
        <v>0</v>
      </c>
      <c r="R62" s="10">
        <f t="shared" si="82"/>
        <v>0</v>
      </c>
      <c r="S62" s="10">
        <f t="shared" si="83"/>
        <v>0</v>
      </c>
      <c r="T62" s="44">
        <f t="shared" si="84"/>
        <v>0</v>
      </c>
      <c r="U62" s="39">
        <f t="shared" si="85"/>
        <v>0</v>
      </c>
      <c r="V62" s="44">
        <f>225504.58*12*1.302</f>
        <v>3523283.55792</v>
      </c>
      <c r="W62" s="44">
        <v>0</v>
      </c>
      <c r="X62" s="67">
        <f t="shared" si="17"/>
        <v>3597405.8371200003</v>
      </c>
      <c r="Y62" s="67"/>
      <c r="Z62" s="67"/>
      <c r="AA62" s="69"/>
      <c r="AB62" s="67"/>
      <c r="AC62" s="67">
        <v>16000</v>
      </c>
      <c r="AD62" s="67">
        <v>48600</v>
      </c>
      <c r="AE62" s="67">
        <v>22000</v>
      </c>
      <c r="AF62" s="67">
        <f t="shared" si="90"/>
        <v>7200</v>
      </c>
      <c r="AG62" s="67">
        <v>30000</v>
      </c>
      <c r="AH62" s="67">
        <f t="shared" si="91"/>
        <v>170000</v>
      </c>
      <c r="AI62" s="67">
        <v>5000</v>
      </c>
      <c r="AJ62" s="67"/>
      <c r="AK62" s="135">
        <f t="shared" si="18"/>
        <v>3896205.8371200003</v>
      </c>
      <c r="AM62" s="36">
        <v>4</v>
      </c>
      <c r="AN62" s="36">
        <v>200</v>
      </c>
      <c r="AO62" s="36">
        <f t="shared" si="49"/>
        <v>20</v>
      </c>
      <c r="AP62" s="81">
        <f t="shared" si="44"/>
        <v>16000</v>
      </c>
      <c r="AQ62" s="36">
        <f t="shared" si="45"/>
        <v>600</v>
      </c>
      <c r="AR62" s="36">
        <f t="shared" si="46"/>
        <v>2400</v>
      </c>
      <c r="AS62" s="36">
        <v>550</v>
      </c>
      <c r="AT62" s="36">
        <v>21</v>
      </c>
      <c r="AU62" s="37">
        <f t="shared" si="47"/>
        <v>46200</v>
      </c>
      <c r="AV62" s="81">
        <f t="shared" si="48"/>
        <v>48600</v>
      </c>
      <c r="AW62" s="37"/>
      <c r="AX62" s="37"/>
      <c r="AY62" s="37" t="e">
        <f>(J62+#REF!+U62+#REF!+V62+W62)/12</f>
        <v>#REF!</v>
      </c>
      <c r="BA62" s="80">
        <f t="shared" si="19"/>
        <v>0</v>
      </c>
      <c r="BC62" s="37">
        <f t="shared" si="20"/>
        <v>0</v>
      </c>
      <c r="BD62" s="37">
        <f t="shared" si="74"/>
        <v>0</v>
      </c>
      <c r="BE62" s="37"/>
      <c r="BF62" s="37">
        <f t="shared" si="21"/>
        <v>43300</v>
      </c>
      <c r="BG62" s="37">
        <f t="shared" si="22"/>
        <v>43300</v>
      </c>
      <c r="BH62" s="37">
        <f t="shared" si="23"/>
        <v>86600</v>
      </c>
      <c r="BI62" s="37"/>
      <c r="BJ62" s="37">
        <f t="shared" si="24"/>
        <v>7200</v>
      </c>
      <c r="BK62" s="37">
        <f t="shared" si="25"/>
        <v>7200</v>
      </c>
      <c r="BL62" s="37"/>
      <c r="BM62" s="37">
        <f t="shared" si="26"/>
        <v>85000</v>
      </c>
      <c r="BN62" s="37">
        <f t="shared" si="27"/>
        <v>85000</v>
      </c>
      <c r="BO62" s="37">
        <f t="shared" si="28"/>
        <v>170000</v>
      </c>
      <c r="BP62" s="36"/>
      <c r="BQ62" s="36"/>
      <c r="BR62" s="36">
        <f t="shared" si="87"/>
        <v>15000</v>
      </c>
      <c r="BS62" s="36">
        <f t="shared" si="88"/>
        <v>15000</v>
      </c>
      <c r="BT62" s="37">
        <f t="shared" si="30"/>
        <v>0</v>
      </c>
      <c r="BU62" s="37">
        <f t="shared" si="89"/>
        <v>30000</v>
      </c>
      <c r="BV62" s="36"/>
      <c r="BW62" s="37">
        <f t="shared" si="31"/>
        <v>5000</v>
      </c>
      <c r="BX62" s="37">
        <f t="shared" si="32"/>
        <v>5000</v>
      </c>
      <c r="CA62" s="62">
        <f t="shared" si="33"/>
        <v>0</v>
      </c>
      <c r="CB62" s="62">
        <f t="shared" si="34"/>
        <v>7200</v>
      </c>
      <c r="CC62" s="62">
        <f t="shared" si="35"/>
        <v>43300</v>
      </c>
      <c r="CD62" s="62">
        <f t="shared" si="36"/>
        <v>63300</v>
      </c>
      <c r="CE62" s="62"/>
      <c r="CF62" s="62"/>
      <c r="CG62" s="62">
        <f t="shared" si="37"/>
        <v>85000</v>
      </c>
      <c r="CH62" s="62">
        <f t="shared" si="38"/>
        <v>85000</v>
      </c>
      <c r="CI62" s="62">
        <f t="shared" si="39"/>
        <v>15000</v>
      </c>
      <c r="CJ62" s="62"/>
      <c r="CK62" s="62"/>
      <c r="CL62" s="62">
        <f t="shared" si="40"/>
        <v>0</v>
      </c>
      <c r="CM62" s="62">
        <f t="shared" si="41"/>
        <v>298800</v>
      </c>
      <c r="CN62" s="62">
        <f t="shared" si="42"/>
        <v>298800</v>
      </c>
      <c r="CO62" s="62">
        <f t="shared" si="43"/>
        <v>0</v>
      </c>
    </row>
    <row r="63" spans="1:93" s="26" customFormat="1" ht="15" customHeight="1">
      <c r="A63" s="36">
        <v>30</v>
      </c>
      <c r="B63" s="51"/>
      <c r="C63" s="4" t="s">
        <v>37</v>
      </c>
      <c r="D63" s="10">
        <v>18204.960000000003</v>
      </c>
      <c r="E63" s="102">
        <v>1.055</v>
      </c>
      <c r="F63" s="10">
        <f t="shared" si="4"/>
        <v>19206.2328</v>
      </c>
      <c r="G63" s="11">
        <f t="shared" si="75"/>
        <v>218459.52</v>
      </c>
      <c r="H63" s="10">
        <f t="shared" si="76"/>
        <v>65974.78</v>
      </c>
      <c r="I63" s="28">
        <f t="shared" si="77"/>
        <v>284434.3</v>
      </c>
      <c r="J63" s="13">
        <f t="shared" si="78"/>
        <v>76797.261</v>
      </c>
      <c r="K63" s="10">
        <v>8785.43</v>
      </c>
      <c r="L63" s="102">
        <v>1.055</v>
      </c>
      <c r="M63" s="106">
        <v>9339.5</v>
      </c>
      <c r="N63" s="11">
        <f t="shared" si="79"/>
        <v>112074</v>
      </c>
      <c r="O63" s="10">
        <f t="shared" si="80"/>
        <v>33846.35</v>
      </c>
      <c r="P63" s="12">
        <f t="shared" si="81"/>
        <v>145920.35</v>
      </c>
      <c r="Q63" s="45">
        <v>0</v>
      </c>
      <c r="R63" s="10">
        <f t="shared" si="82"/>
        <v>0</v>
      </c>
      <c r="S63" s="10">
        <f t="shared" si="83"/>
        <v>0</v>
      </c>
      <c r="T63" s="44">
        <f t="shared" si="84"/>
        <v>0</v>
      </c>
      <c r="U63" s="39">
        <f t="shared" si="85"/>
        <v>0</v>
      </c>
      <c r="V63" s="44">
        <f>203331.34*12*1.302</f>
        <v>3176848.8561600004</v>
      </c>
      <c r="W63" s="44">
        <v>0</v>
      </c>
      <c r="X63" s="67">
        <f t="shared" si="17"/>
        <v>3399566.4671600005</v>
      </c>
      <c r="Y63" s="67"/>
      <c r="Z63" s="67"/>
      <c r="AA63" s="69"/>
      <c r="AB63" s="67"/>
      <c r="AC63" s="67">
        <v>12000</v>
      </c>
      <c r="AD63" s="67">
        <v>36450</v>
      </c>
      <c r="AE63" s="67">
        <v>16500</v>
      </c>
      <c r="AF63" s="67">
        <f t="shared" si="90"/>
        <v>7200</v>
      </c>
      <c r="AG63" s="67">
        <v>30000</v>
      </c>
      <c r="AH63" s="67">
        <f t="shared" si="91"/>
        <v>170000</v>
      </c>
      <c r="AI63" s="67">
        <v>5000</v>
      </c>
      <c r="AJ63" s="67"/>
      <c r="AK63" s="135">
        <f t="shared" si="18"/>
        <v>3676716.4671600005</v>
      </c>
      <c r="AM63" s="36">
        <v>3</v>
      </c>
      <c r="AN63" s="36">
        <v>200</v>
      </c>
      <c r="AO63" s="36">
        <f t="shared" si="49"/>
        <v>20</v>
      </c>
      <c r="AP63" s="81">
        <f t="shared" si="44"/>
        <v>12000</v>
      </c>
      <c r="AQ63" s="36">
        <f t="shared" si="45"/>
        <v>600</v>
      </c>
      <c r="AR63" s="36">
        <f t="shared" si="46"/>
        <v>1800</v>
      </c>
      <c r="AS63" s="36">
        <v>550</v>
      </c>
      <c r="AT63" s="36">
        <v>21</v>
      </c>
      <c r="AU63" s="37">
        <f t="shared" si="47"/>
        <v>34650</v>
      </c>
      <c r="AV63" s="81">
        <f t="shared" si="48"/>
        <v>36450</v>
      </c>
      <c r="AW63" s="37"/>
      <c r="AX63" s="37"/>
      <c r="AY63" s="37" t="e">
        <f>(J63+#REF!+U63+#REF!+V63+W63)/12</f>
        <v>#REF!</v>
      </c>
      <c r="BA63" s="80">
        <f t="shared" si="19"/>
        <v>0</v>
      </c>
      <c r="BC63" s="37">
        <f t="shared" si="20"/>
        <v>0</v>
      </c>
      <c r="BD63" s="37">
        <f t="shared" si="74"/>
        <v>0</v>
      </c>
      <c r="BE63" s="37"/>
      <c r="BF63" s="37">
        <f t="shared" si="21"/>
        <v>32475</v>
      </c>
      <c r="BG63" s="37">
        <f t="shared" si="22"/>
        <v>32475</v>
      </c>
      <c r="BH63" s="37">
        <f t="shared" si="23"/>
        <v>64950</v>
      </c>
      <c r="BI63" s="37"/>
      <c r="BJ63" s="37">
        <f t="shared" si="24"/>
        <v>7200</v>
      </c>
      <c r="BK63" s="37">
        <f t="shared" si="25"/>
        <v>7200</v>
      </c>
      <c r="BL63" s="37"/>
      <c r="BM63" s="37">
        <f t="shared" si="26"/>
        <v>85000</v>
      </c>
      <c r="BN63" s="37">
        <f t="shared" si="27"/>
        <v>85000</v>
      </c>
      <c r="BO63" s="37">
        <f t="shared" si="28"/>
        <v>170000</v>
      </c>
      <c r="BP63" s="36"/>
      <c r="BQ63" s="36"/>
      <c r="BR63" s="36">
        <f t="shared" si="87"/>
        <v>15000</v>
      </c>
      <c r="BS63" s="36">
        <f t="shared" si="88"/>
        <v>15000</v>
      </c>
      <c r="BT63" s="37">
        <f t="shared" si="30"/>
        <v>0</v>
      </c>
      <c r="BU63" s="37">
        <f t="shared" si="89"/>
        <v>30000</v>
      </c>
      <c r="BV63" s="36"/>
      <c r="BW63" s="37">
        <f t="shared" si="31"/>
        <v>5000</v>
      </c>
      <c r="BX63" s="37">
        <f t="shared" si="32"/>
        <v>5000</v>
      </c>
      <c r="CA63" s="62">
        <f t="shared" si="33"/>
        <v>0</v>
      </c>
      <c r="CB63" s="62">
        <f t="shared" si="34"/>
        <v>7200</v>
      </c>
      <c r="CC63" s="62">
        <f t="shared" si="35"/>
        <v>32475</v>
      </c>
      <c r="CD63" s="62">
        <f t="shared" si="36"/>
        <v>52475</v>
      </c>
      <c r="CE63" s="62"/>
      <c r="CF63" s="62"/>
      <c r="CG63" s="62">
        <f t="shared" si="37"/>
        <v>85000</v>
      </c>
      <c r="CH63" s="62">
        <f t="shared" si="38"/>
        <v>85000</v>
      </c>
      <c r="CI63" s="62">
        <f t="shared" si="39"/>
        <v>15000</v>
      </c>
      <c r="CJ63" s="62"/>
      <c r="CK63" s="62"/>
      <c r="CL63" s="62">
        <f t="shared" si="40"/>
        <v>0</v>
      </c>
      <c r="CM63" s="62">
        <f t="shared" si="41"/>
        <v>277150</v>
      </c>
      <c r="CN63" s="62">
        <f t="shared" si="42"/>
        <v>277150</v>
      </c>
      <c r="CO63" s="62">
        <f t="shared" si="43"/>
        <v>0</v>
      </c>
    </row>
    <row r="64" spans="1:93" s="26" customFormat="1" ht="15" customHeight="1">
      <c r="A64" s="36">
        <v>31</v>
      </c>
      <c r="B64" s="51"/>
      <c r="C64" s="4" t="s">
        <v>38</v>
      </c>
      <c r="D64" s="10">
        <v>17570.85</v>
      </c>
      <c r="E64" s="102">
        <v>1.055</v>
      </c>
      <c r="F64" s="106">
        <v>18679</v>
      </c>
      <c r="G64" s="11">
        <f t="shared" si="75"/>
        <v>210850.2</v>
      </c>
      <c r="H64" s="10">
        <f t="shared" si="76"/>
        <v>63676.76</v>
      </c>
      <c r="I64" s="28">
        <f t="shared" si="77"/>
        <v>274526.96</v>
      </c>
      <c r="J64" s="13">
        <f t="shared" si="78"/>
        <v>74122.2792</v>
      </c>
      <c r="K64" s="10">
        <v>8785.43</v>
      </c>
      <c r="L64" s="102">
        <v>1.055</v>
      </c>
      <c r="M64" s="106">
        <v>9339.5</v>
      </c>
      <c r="N64" s="11">
        <f t="shared" si="79"/>
        <v>112074</v>
      </c>
      <c r="O64" s="10">
        <f t="shared" si="80"/>
        <v>33846.35</v>
      </c>
      <c r="P64" s="12">
        <f t="shared" si="81"/>
        <v>145920.35</v>
      </c>
      <c r="Q64" s="45">
        <v>0.5</v>
      </c>
      <c r="R64" s="10">
        <f t="shared" si="82"/>
        <v>112074</v>
      </c>
      <c r="S64" s="10">
        <f t="shared" si="83"/>
        <v>33846.35</v>
      </c>
      <c r="T64" s="44">
        <f t="shared" si="84"/>
        <v>145920.35</v>
      </c>
      <c r="U64" s="39">
        <f t="shared" si="85"/>
        <v>145920.35</v>
      </c>
      <c r="V64" s="44">
        <f>64996.26*12*1.302</f>
        <v>1015501.5662400001</v>
      </c>
      <c r="W64" s="44">
        <v>0</v>
      </c>
      <c r="X64" s="67">
        <f t="shared" si="17"/>
        <v>1381464.5454400002</v>
      </c>
      <c r="Y64" s="67"/>
      <c r="Z64" s="67"/>
      <c r="AA64" s="69"/>
      <c r="AB64" s="67"/>
      <c r="AC64" s="67">
        <v>16000</v>
      </c>
      <c r="AD64" s="67">
        <v>48600</v>
      </c>
      <c r="AE64" s="67">
        <v>22000</v>
      </c>
      <c r="AF64" s="67">
        <f>900*12</f>
        <v>10800</v>
      </c>
      <c r="AG64" s="67">
        <v>30000</v>
      </c>
      <c r="AH64" s="67">
        <f t="shared" si="91"/>
        <v>170000</v>
      </c>
      <c r="AI64" s="67">
        <v>5000</v>
      </c>
      <c r="AJ64" s="67"/>
      <c r="AK64" s="135">
        <f t="shared" si="18"/>
        <v>1683864.5454400002</v>
      </c>
      <c r="AM64" s="36">
        <v>4</v>
      </c>
      <c r="AN64" s="36">
        <v>200</v>
      </c>
      <c r="AO64" s="36">
        <f t="shared" si="49"/>
        <v>20</v>
      </c>
      <c r="AP64" s="81">
        <f t="shared" si="44"/>
        <v>16000</v>
      </c>
      <c r="AQ64" s="36">
        <f t="shared" si="45"/>
        <v>600</v>
      </c>
      <c r="AR64" s="36">
        <f t="shared" si="46"/>
        <v>2400</v>
      </c>
      <c r="AS64" s="36">
        <v>550</v>
      </c>
      <c r="AT64" s="36">
        <v>21</v>
      </c>
      <c r="AU64" s="37">
        <f t="shared" si="47"/>
        <v>46200</v>
      </c>
      <c r="AV64" s="81">
        <f t="shared" si="48"/>
        <v>48600</v>
      </c>
      <c r="AW64" s="37"/>
      <c r="AX64" s="37"/>
      <c r="AY64" s="37" t="e">
        <f>(J64+#REF!+U64+#REF!+V64+W64)/12</f>
        <v>#REF!</v>
      </c>
      <c r="BA64" s="80">
        <f t="shared" si="19"/>
        <v>0</v>
      </c>
      <c r="BC64" s="37">
        <f t="shared" si="20"/>
        <v>0</v>
      </c>
      <c r="BD64" s="37">
        <f t="shared" si="74"/>
        <v>0</v>
      </c>
      <c r="BE64" s="37"/>
      <c r="BF64" s="37">
        <f t="shared" si="21"/>
        <v>43300</v>
      </c>
      <c r="BG64" s="37">
        <f t="shared" si="22"/>
        <v>43300</v>
      </c>
      <c r="BH64" s="37">
        <f t="shared" si="23"/>
        <v>86600</v>
      </c>
      <c r="BI64" s="37"/>
      <c r="BJ64" s="37">
        <f t="shared" si="24"/>
        <v>10800</v>
      </c>
      <c r="BK64" s="37">
        <f t="shared" si="25"/>
        <v>10800</v>
      </c>
      <c r="BL64" s="37"/>
      <c r="BM64" s="37">
        <f t="shared" si="26"/>
        <v>85000</v>
      </c>
      <c r="BN64" s="37">
        <f t="shared" si="27"/>
        <v>85000</v>
      </c>
      <c r="BO64" s="37">
        <f t="shared" si="28"/>
        <v>170000</v>
      </c>
      <c r="BP64" s="36"/>
      <c r="BQ64" s="36"/>
      <c r="BR64" s="36">
        <f t="shared" si="87"/>
        <v>15000</v>
      </c>
      <c r="BS64" s="36">
        <f t="shared" si="88"/>
        <v>15000</v>
      </c>
      <c r="BT64" s="37">
        <f t="shared" si="30"/>
        <v>0</v>
      </c>
      <c r="BU64" s="37">
        <f t="shared" si="89"/>
        <v>30000</v>
      </c>
      <c r="BV64" s="36"/>
      <c r="BW64" s="37">
        <f t="shared" si="31"/>
        <v>5000</v>
      </c>
      <c r="BX64" s="37">
        <f t="shared" si="32"/>
        <v>5000</v>
      </c>
      <c r="CA64" s="62">
        <f t="shared" si="33"/>
        <v>0</v>
      </c>
      <c r="CB64" s="62">
        <f t="shared" si="34"/>
        <v>10800</v>
      </c>
      <c r="CC64" s="62">
        <f t="shared" si="35"/>
        <v>43300</v>
      </c>
      <c r="CD64" s="62">
        <f t="shared" si="36"/>
        <v>63300</v>
      </c>
      <c r="CE64" s="62"/>
      <c r="CF64" s="62"/>
      <c r="CG64" s="62">
        <f t="shared" si="37"/>
        <v>85000</v>
      </c>
      <c r="CH64" s="62">
        <f t="shared" si="38"/>
        <v>85000</v>
      </c>
      <c r="CI64" s="62">
        <f t="shared" si="39"/>
        <v>15000</v>
      </c>
      <c r="CJ64" s="62"/>
      <c r="CK64" s="62"/>
      <c r="CL64" s="62">
        <f t="shared" si="40"/>
        <v>0</v>
      </c>
      <c r="CM64" s="62">
        <f t="shared" si="41"/>
        <v>302400</v>
      </c>
      <c r="CN64" s="62">
        <f t="shared" si="42"/>
        <v>302400</v>
      </c>
      <c r="CO64" s="62">
        <f t="shared" si="43"/>
        <v>0</v>
      </c>
    </row>
    <row r="65" spans="1:93" s="26" customFormat="1" ht="15">
      <c r="A65" s="36">
        <v>32</v>
      </c>
      <c r="B65" s="51"/>
      <c r="C65" s="4" t="s">
        <v>39</v>
      </c>
      <c r="D65" s="10">
        <v>17570.85</v>
      </c>
      <c r="E65" s="102">
        <v>1.055</v>
      </c>
      <c r="F65" s="106">
        <v>18679</v>
      </c>
      <c r="G65" s="11">
        <f t="shared" si="75"/>
        <v>210850.2</v>
      </c>
      <c r="H65" s="10">
        <f t="shared" si="76"/>
        <v>63676.76</v>
      </c>
      <c r="I65" s="28">
        <f t="shared" si="77"/>
        <v>274526.96</v>
      </c>
      <c r="J65" s="13">
        <f t="shared" si="78"/>
        <v>74122.2792</v>
      </c>
      <c r="K65" s="10">
        <v>8785.43</v>
      </c>
      <c r="L65" s="102">
        <v>1.055</v>
      </c>
      <c r="M65" s="106">
        <v>9339.5</v>
      </c>
      <c r="N65" s="11">
        <f t="shared" si="79"/>
        <v>112074</v>
      </c>
      <c r="O65" s="10">
        <f t="shared" si="80"/>
        <v>33846.35</v>
      </c>
      <c r="P65" s="12">
        <f t="shared" si="81"/>
        <v>145920.35</v>
      </c>
      <c r="Q65" s="45">
        <v>0</v>
      </c>
      <c r="R65" s="10">
        <f t="shared" si="82"/>
        <v>0</v>
      </c>
      <c r="S65" s="10">
        <f t="shared" si="83"/>
        <v>0</v>
      </c>
      <c r="T65" s="44">
        <f t="shared" si="84"/>
        <v>0</v>
      </c>
      <c r="U65" s="39">
        <f t="shared" si="85"/>
        <v>0</v>
      </c>
      <c r="V65" s="44">
        <f>213408.81*12*1.302</f>
        <v>3334299.2474399996</v>
      </c>
      <c r="W65" s="44">
        <v>0</v>
      </c>
      <c r="X65" s="67">
        <f t="shared" si="17"/>
        <v>3554341.87664</v>
      </c>
      <c r="Y65" s="67"/>
      <c r="Z65" s="67"/>
      <c r="AA65" s="69"/>
      <c r="AB65" s="67"/>
      <c r="AC65" s="67">
        <v>16000</v>
      </c>
      <c r="AD65" s="67">
        <v>48600</v>
      </c>
      <c r="AE65" s="67">
        <v>22000</v>
      </c>
      <c r="AF65" s="67">
        <f t="shared" si="90"/>
        <v>7200</v>
      </c>
      <c r="AG65" s="67">
        <v>30000</v>
      </c>
      <c r="AH65" s="67">
        <f t="shared" si="91"/>
        <v>170000</v>
      </c>
      <c r="AI65" s="67">
        <v>5000</v>
      </c>
      <c r="AJ65" s="67"/>
      <c r="AK65" s="135">
        <f t="shared" si="18"/>
        <v>3853141.87664</v>
      </c>
      <c r="AM65" s="36">
        <v>4</v>
      </c>
      <c r="AN65" s="36">
        <v>200</v>
      </c>
      <c r="AO65" s="36">
        <f t="shared" si="49"/>
        <v>20</v>
      </c>
      <c r="AP65" s="81">
        <f t="shared" si="44"/>
        <v>16000</v>
      </c>
      <c r="AQ65" s="36">
        <f t="shared" si="45"/>
        <v>600</v>
      </c>
      <c r="AR65" s="36">
        <f t="shared" si="46"/>
        <v>2400</v>
      </c>
      <c r="AS65" s="36">
        <v>550</v>
      </c>
      <c r="AT65" s="36">
        <v>21</v>
      </c>
      <c r="AU65" s="37">
        <f t="shared" si="47"/>
        <v>46200</v>
      </c>
      <c r="AV65" s="81">
        <f t="shared" si="48"/>
        <v>48600</v>
      </c>
      <c r="AW65" s="37"/>
      <c r="AX65" s="37"/>
      <c r="AY65" s="37" t="e">
        <f>(J65+#REF!+U65+#REF!+V65+W65)/12</f>
        <v>#REF!</v>
      </c>
      <c r="BA65" s="80">
        <f t="shared" si="19"/>
        <v>0</v>
      </c>
      <c r="BC65" s="37">
        <f t="shared" si="20"/>
        <v>0</v>
      </c>
      <c r="BD65" s="37">
        <f t="shared" si="74"/>
        <v>0</v>
      </c>
      <c r="BE65" s="37"/>
      <c r="BF65" s="37">
        <f t="shared" si="21"/>
        <v>43300</v>
      </c>
      <c r="BG65" s="37">
        <f t="shared" si="22"/>
        <v>43300</v>
      </c>
      <c r="BH65" s="37">
        <f t="shared" si="23"/>
        <v>86600</v>
      </c>
      <c r="BI65" s="37"/>
      <c r="BJ65" s="37">
        <f t="shared" si="24"/>
        <v>7200</v>
      </c>
      <c r="BK65" s="37">
        <f t="shared" si="25"/>
        <v>7200</v>
      </c>
      <c r="BL65" s="37"/>
      <c r="BM65" s="37">
        <f t="shared" si="26"/>
        <v>85000</v>
      </c>
      <c r="BN65" s="37">
        <f t="shared" si="27"/>
        <v>85000</v>
      </c>
      <c r="BO65" s="37">
        <f t="shared" si="28"/>
        <v>170000</v>
      </c>
      <c r="BP65" s="36"/>
      <c r="BQ65" s="36"/>
      <c r="BR65" s="36">
        <f t="shared" si="87"/>
        <v>15000</v>
      </c>
      <c r="BS65" s="36">
        <f t="shared" si="88"/>
        <v>15000</v>
      </c>
      <c r="BT65" s="37">
        <f t="shared" si="30"/>
        <v>0</v>
      </c>
      <c r="BU65" s="37">
        <f t="shared" si="89"/>
        <v>30000</v>
      </c>
      <c r="BV65" s="36"/>
      <c r="BW65" s="37">
        <f t="shared" si="31"/>
        <v>5000</v>
      </c>
      <c r="BX65" s="37">
        <f t="shared" si="32"/>
        <v>5000</v>
      </c>
      <c r="CA65" s="62">
        <f t="shared" si="33"/>
        <v>0</v>
      </c>
      <c r="CB65" s="62">
        <f t="shared" si="34"/>
        <v>7200</v>
      </c>
      <c r="CC65" s="62">
        <f t="shared" si="35"/>
        <v>43300</v>
      </c>
      <c r="CD65" s="62">
        <f t="shared" si="36"/>
        <v>63300</v>
      </c>
      <c r="CE65" s="62"/>
      <c r="CF65" s="62"/>
      <c r="CG65" s="62">
        <f t="shared" si="37"/>
        <v>85000</v>
      </c>
      <c r="CH65" s="62">
        <f t="shared" si="38"/>
        <v>85000</v>
      </c>
      <c r="CI65" s="62">
        <f t="shared" si="39"/>
        <v>15000</v>
      </c>
      <c r="CJ65" s="62"/>
      <c r="CK65" s="62"/>
      <c r="CL65" s="62">
        <f t="shared" si="40"/>
        <v>0</v>
      </c>
      <c r="CM65" s="62">
        <f t="shared" si="41"/>
        <v>298800</v>
      </c>
      <c r="CN65" s="62">
        <f t="shared" si="42"/>
        <v>298800</v>
      </c>
      <c r="CO65" s="62">
        <f t="shared" si="43"/>
        <v>0</v>
      </c>
    </row>
    <row r="66" spans="1:93" s="56" customFormat="1" ht="15">
      <c r="A66" s="55">
        <v>33</v>
      </c>
      <c r="B66" s="51"/>
      <c r="C66" s="18" t="s">
        <v>12</v>
      </c>
      <c r="D66" s="19">
        <v>35450.5325</v>
      </c>
      <c r="E66" s="103">
        <v>1.055</v>
      </c>
      <c r="F66" s="19">
        <f t="shared" si="4"/>
        <v>37400.3117875</v>
      </c>
      <c r="G66" s="20">
        <f t="shared" si="75"/>
        <v>425406.39</v>
      </c>
      <c r="H66" s="19">
        <f t="shared" si="76"/>
        <v>128472.73</v>
      </c>
      <c r="I66" s="29">
        <f t="shared" si="77"/>
        <v>553879.12</v>
      </c>
      <c r="J66" s="21">
        <f t="shared" si="78"/>
        <v>149547.3624</v>
      </c>
      <c r="K66" s="19">
        <v>57298.86</v>
      </c>
      <c r="L66" s="103">
        <v>1.055</v>
      </c>
      <c r="M66" s="19">
        <f t="shared" si="9"/>
        <v>60450.2973</v>
      </c>
      <c r="N66" s="20">
        <f t="shared" si="79"/>
        <v>725403.57</v>
      </c>
      <c r="O66" s="19">
        <f t="shared" si="80"/>
        <v>219071.88</v>
      </c>
      <c r="P66" s="21">
        <f>(N66+O66)</f>
        <v>944475.45</v>
      </c>
      <c r="Q66" s="43">
        <v>1.9</v>
      </c>
      <c r="R66" s="19">
        <f t="shared" si="82"/>
        <v>425881.2</v>
      </c>
      <c r="S66" s="19">
        <f t="shared" si="83"/>
        <v>128616.12</v>
      </c>
      <c r="T66" s="46">
        <f t="shared" si="84"/>
        <v>554497.3200000001</v>
      </c>
      <c r="U66" s="43">
        <f t="shared" si="85"/>
        <v>554497.3200000001</v>
      </c>
      <c r="V66" s="46">
        <f>439013.01*12*1.302</f>
        <v>6859139.26824</v>
      </c>
      <c r="W66" s="46">
        <v>0</v>
      </c>
      <c r="X66" s="68">
        <f t="shared" si="17"/>
        <v>8507659.40064</v>
      </c>
      <c r="Y66" s="68"/>
      <c r="Z66" s="68"/>
      <c r="AA66" s="70"/>
      <c r="AB66" s="68"/>
      <c r="AC66" s="68">
        <v>40000</v>
      </c>
      <c r="AD66" s="68">
        <v>121500</v>
      </c>
      <c r="AE66" s="68">
        <v>55000</v>
      </c>
      <c r="AF66" s="68">
        <f t="shared" si="90"/>
        <v>7200</v>
      </c>
      <c r="AG66" s="68">
        <v>72000</v>
      </c>
      <c r="AH66" s="68">
        <f>160000+135000+10000</f>
        <v>305000</v>
      </c>
      <c r="AI66" s="68">
        <v>7000</v>
      </c>
      <c r="AJ66" s="68">
        <v>500000</v>
      </c>
      <c r="AK66" s="135">
        <f t="shared" si="18"/>
        <v>9615359.40064</v>
      </c>
      <c r="AM66" s="63">
        <v>10</v>
      </c>
      <c r="AN66" s="36">
        <v>200</v>
      </c>
      <c r="AO66" s="36">
        <f t="shared" si="49"/>
        <v>20</v>
      </c>
      <c r="AP66" s="81">
        <f t="shared" si="44"/>
        <v>40000</v>
      </c>
      <c r="AQ66" s="36">
        <f t="shared" si="45"/>
        <v>600</v>
      </c>
      <c r="AR66" s="36">
        <f t="shared" si="46"/>
        <v>6000</v>
      </c>
      <c r="AS66" s="36">
        <v>550</v>
      </c>
      <c r="AT66" s="36">
        <v>21</v>
      </c>
      <c r="AU66" s="37">
        <f t="shared" si="47"/>
        <v>115500</v>
      </c>
      <c r="AV66" s="81">
        <f t="shared" si="48"/>
        <v>121500</v>
      </c>
      <c r="AW66" s="37"/>
      <c r="AX66" s="37"/>
      <c r="AY66" s="37" t="e">
        <f>(J66+#REF!+U66+#REF!+V66+W66)/12</f>
        <v>#REF!</v>
      </c>
      <c r="BA66" s="80">
        <f t="shared" si="19"/>
        <v>0</v>
      </c>
      <c r="BC66" s="37">
        <f t="shared" si="20"/>
        <v>0</v>
      </c>
      <c r="BD66" s="37">
        <f t="shared" si="74"/>
        <v>0</v>
      </c>
      <c r="BE66" s="81"/>
      <c r="BF66" s="37">
        <f t="shared" si="21"/>
        <v>108250</v>
      </c>
      <c r="BG66" s="37">
        <f t="shared" si="22"/>
        <v>108250</v>
      </c>
      <c r="BH66" s="37">
        <f t="shared" si="23"/>
        <v>216500</v>
      </c>
      <c r="BI66" s="37"/>
      <c r="BJ66" s="37">
        <f t="shared" si="24"/>
        <v>7200</v>
      </c>
      <c r="BK66" s="37">
        <f t="shared" si="25"/>
        <v>7200</v>
      </c>
      <c r="BL66" s="81"/>
      <c r="BM66" s="37">
        <f t="shared" si="26"/>
        <v>152500</v>
      </c>
      <c r="BN66" s="37">
        <f t="shared" si="27"/>
        <v>152500</v>
      </c>
      <c r="BO66" s="37">
        <f t="shared" si="28"/>
        <v>305000</v>
      </c>
      <c r="BP66" s="55"/>
      <c r="BQ66" s="55"/>
      <c r="BR66" s="36">
        <f t="shared" si="87"/>
        <v>36000</v>
      </c>
      <c r="BS66" s="36">
        <f t="shared" si="88"/>
        <v>36000</v>
      </c>
      <c r="BT66" s="37">
        <f t="shared" si="30"/>
        <v>500000</v>
      </c>
      <c r="BU66" s="37">
        <f t="shared" si="89"/>
        <v>572000</v>
      </c>
      <c r="BV66" s="55"/>
      <c r="BW66" s="37">
        <f t="shared" si="31"/>
        <v>7000</v>
      </c>
      <c r="BX66" s="37">
        <f t="shared" si="32"/>
        <v>7000</v>
      </c>
      <c r="CA66" s="62">
        <f t="shared" si="33"/>
        <v>0</v>
      </c>
      <c r="CB66" s="62">
        <f t="shared" si="34"/>
        <v>7200</v>
      </c>
      <c r="CC66" s="62">
        <f t="shared" si="35"/>
        <v>108250</v>
      </c>
      <c r="CD66" s="62">
        <f t="shared" si="36"/>
        <v>151250</v>
      </c>
      <c r="CE66" s="62"/>
      <c r="CF66" s="62"/>
      <c r="CG66" s="62">
        <f t="shared" si="37"/>
        <v>152500</v>
      </c>
      <c r="CH66" s="62">
        <f t="shared" si="38"/>
        <v>152500</v>
      </c>
      <c r="CI66" s="62">
        <f t="shared" si="39"/>
        <v>36000</v>
      </c>
      <c r="CJ66" s="62"/>
      <c r="CK66" s="62"/>
      <c r="CL66" s="62">
        <f t="shared" si="40"/>
        <v>500000</v>
      </c>
      <c r="CM66" s="62">
        <f t="shared" si="41"/>
        <v>1107700</v>
      </c>
      <c r="CN66" s="62">
        <f t="shared" si="42"/>
        <v>1107700</v>
      </c>
      <c r="CO66" s="62">
        <f t="shared" si="43"/>
        <v>0</v>
      </c>
    </row>
    <row r="67" spans="1:93" s="56" customFormat="1" ht="15" customHeight="1">
      <c r="A67" s="55">
        <v>34</v>
      </c>
      <c r="B67" s="51"/>
      <c r="C67" s="18" t="s">
        <v>21</v>
      </c>
      <c r="D67" s="19">
        <v>33756.64</v>
      </c>
      <c r="E67" s="103">
        <v>1.055</v>
      </c>
      <c r="F67" s="19">
        <f t="shared" si="4"/>
        <v>35613.2552</v>
      </c>
      <c r="G67" s="20">
        <f t="shared" si="75"/>
        <v>405079.68</v>
      </c>
      <c r="H67" s="19">
        <f t="shared" si="76"/>
        <v>122334.06</v>
      </c>
      <c r="I67" s="29">
        <f t="shared" si="77"/>
        <v>527413.74</v>
      </c>
      <c r="J67" s="21">
        <f t="shared" si="78"/>
        <v>142401.7098</v>
      </c>
      <c r="K67" s="19">
        <v>98741.76</v>
      </c>
      <c r="L67" s="103">
        <v>1.055</v>
      </c>
      <c r="M67" s="19">
        <f t="shared" si="9"/>
        <v>104172.55679999999</v>
      </c>
      <c r="N67" s="20">
        <f t="shared" si="79"/>
        <v>1250070.68</v>
      </c>
      <c r="O67" s="19">
        <f t="shared" si="80"/>
        <v>377521.35</v>
      </c>
      <c r="P67" s="21">
        <f>(N67+O67)</f>
        <v>1627592.0299999998</v>
      </c>
      <c r="Q67" s="43">
        <v>3.3</v>
      </c>
      <c r="R67" s="19">
        <f t="shared" si="82"/>
        <v>739688.4</v>
      </c>
      <c r="S67" s="19">
        <f t="shared" si="83"/>
        <v>223385.9</v>
      </c>
      <c r="T67" s="46">
        <f t="shared" si="84"/>
        <v>963074.3</v>
      </c>
      <c r="U67" s="43">
        <f t="shared" si="85"/>
        <v>963074.3</v>
      </c>
      <c r="V67" s="46">
        <f>893399.77*12*1.302</f>
        <v>13958478.00648</v>
      </c>
      <c r="W67" s="46">
        <v>0</v>
      </c>
      <c r="X67" s="68">
        <f t="shared" si="17"/>
        <v>16691546.04628</v>
      </c>
      <c r="Y67" s="68"/>
      <c r="Z67" s="68"/>
      <c r="AA67" s="70"/>
      <c r="AB67" s="68"/>
      <c r="AC67" s="68">
        <v>56000</v>
      </c>
      <c r="AD67" s="68">
        <v>170100</v>
      </c>
      <c r="AE67" s="68">
        <v>77000</v>
      </c>
      <c r="AF67" s="68">
        <f>1500*12</f>
        <v>18000</v>
      </c>
      <c r="AG67" s="68">
        <v>72000</v>
      </c>
      <c r="AH67" s="68">
        <f>160000+135000+10000</f>
        <v>305000</v>
      </c>
      <c r="AI67" s="68">
        <v>7000</v>
      </c>
      <c r="AJ67" s="68">
        <v>500000</v>
      </c>
      <c r="AK67" s="135">
        <f t="shared" si="18"/>
        <v>17896646.04628</v>
      </c>
      <c r="AM67" s="63">
        <v>14</v>
      </c>
      <c r="AN67" s="36">
        <v>200</v>
      </c>
      <c r="AO67" s="36">
        <f t="shared" si="49"/>
        <v>20</v>
      </c>
      <c r="AP67" s="81">
        <f t="shared" si="44"/>
        <v>56000</v>
      </c>
      <c r="AQ67" s="36">
        <f t="shared" si="45"/>
        <v>600</v>
      </c>
      <c r="AR67" s="36">
        <f t="shared" si="46"/>
        <v>8400</v>
      </c>
      <c r="AS67" s="36">
        <v>550</v>
      </c>
      <c r="AT67" s="36">
        <v>21</v>
      </c>
      <c r="AU67" s="37">
        <f t="shared" si="47"/>
        <v>161700</v>
      </c>
      <c r="AV67" s="81">
        <f t="shared" si="48"/>
        <v>170100</v>
      </c>
      <c r="AW67" s="37"/>
      <c r="AX67" s="37"/>
      <c r="AY67" s="37" t="e">
        <f>(J67+#REF!+U67+#REF!+V67+W67)/12</f>
        <v>#REF!</v>
      </c>
      <c r="BA67" s="80">
        <f t="shared" si="19"/>
        <v>0</v>
      </c>
      <c r="BC67" s="37">
        <f t="shared" si="20"/>
        <v>0</v>
      </c>
      <c r="BD67" s="37">
        <f t="shared" si="74"/>
        <v>0</v>
      </c>
      <c r="BE67" s="81"/>
      <c r="BF67" s="37">
        <f t="shared" si="21"/>
        <v>151550</v>
      </c>
      <c r="BG67" s="37">
        <f t="shared" si="22"/>
        <v>151550</v>
      </c>
      <c r="BH67" s="37">
        <f t="shared" si="23"/>
        <v>303100</v>
      </c>
      <c r="BI67" s="37"/>
      <c r="BJ67" s="37">
        <f t="shared" si="24"/>
        <v>18000</v>
      </c>
      <c r="BK67" s="37">
        <f t="shared" si="25"/>
        <v>18000</v>
      </c>
      <c r="BL67" s="81"/>
      <c r="BM67" s="37">
        <f t="shared" si="26"/>
        <v>152500</v>
      </c>
      <c r="BN67" s="37">
        <f t="shared" si="27"/>
        <v>152500</v>
      </c>
      <c r="BO67" s="37">
        <f t="shared" si="28"/>
        <v>305000</v>
      </c>
      <c r="BP67" s="55"/>
      <c r="BQ67" s="55"/>
      <c r="BR67" s="36">
        <f t="shared" si="87"/>
        <v>36000</v>
      </c>
      <c r="BS67" s="36">
        <f t="shared" si="88"/>
        <v>36000</v>
      </c>
      <c r="BT67" s="37">
        <f t="shared" si="30"/>
        <v>500000</v>
      </c>
      <c r="BU67" s="37">
        <f t="shared" si="89"/>
        <v>572000</v>
      </c>
      <c r="BV67" s="55"/>
      <c r="BW67" s="37">
        <f t="shared" si="31"/>
        <v>7000</v>
      </c>
      <c r="BX67" s="37">
        <f t="shared" si="32"/>
        <v>7000</v>
      </c>
      <c r="CA67" s="62">
        <f t="shared" si="33"/>
        <v>0</v>
      </c>
      <c r="CB67" s="62">
        <f t="shared" si="34"/>
        <v>18000</v>
      </c>
      <c r="CC67" s="62">
        <f t="shared" si="35"/>
        <v>151550</v>
      </c>
      <c r="CD67" s="62">
        <f t="shared" si="36"/>
        <v>194550</v>
      </c>
      <c r="CE67" s="62"/>
      <c r="CF67" s="62"/>
      <c r="CG67" s="62">
        <f t="shared" si="37"/>
        <v>152500</v>
      </c>
      <c r="CH67" s="62">
        <f t="shared" si="38"/>
        <v>152500</v>
      </c>
      <c r="CI67" s="62">
        <f t="shared" si="39"/>
        <v>36000</v>
      </c>
      <c r="CJ67" s="62"/>
      <c r="CK67" s="62"/>
      <c r="CL67" s="62">
        <f t="shared" si="40"/>
        <v>500000</v>
      </c>
      <c r="CM67" s="62">
        <f t="shared" si="41"/>
        <v>1205100</v>
      </c>
      <c r="CN67" s="62">
        <f t="shared" si="42"/>
        <v>1205100</v>
      </c>
      <c r="CO67" s="62">
        <f t="shared" si="43"/>
        <v>0</v>
      </c>
    </row>
    <row r="68" spans="1:93" s="57" customFormat="1" ht="15" customHeight="1">
      <c r="A68" s="168" t="s">
        <v>4</v>
      </c>
      <c r="B68" s="169"/>
      <c r="C68" s="170"/>
      <c r="D68" s="75">
        <f>SUM(D34:D67)</f>
        <v>868485.8124999998</v>
      </c>
      <c r="E68" s="75">
        <f>SUM(E34:E67)</f>
        <v>35.87</v>
      </c>
      <c r="F68" s="75">
        <f>SUM(F34:F67)</f>
        <v>917145.5776625</v>
      </c>
      <c r="G68" s="23">
        <f>SUM(G34:G65)</f>
        <v>9591343.679999998</v>
      </c>
      <c r="H68" s="23">
        <f>SUM(H34:H65)</f>
        <v>2896585.8199999984</v>
      </c>
      <c r="I68" s="23">
        <f>SUM(I34:I65)</f>
        <v>12487929.500000006</v>
      </c>
      <c r="J68" s="23">
        <f aca="true" t="shared" si="92" ref="J68:AL68">SUM(J34:J67)</f>
        <v>3663690.0372000015</v>
      </c>
      <c r="K68" s="23">
        <f t="shared" si="92"/>
        <v>1310356.9499999997</v>
      </c>
      <c r="L68" s="23">
        <f t="shared" si="92"/>
        <v>35.87</v>
      </c>
      <c r="M68" s="23">
        <f t="shared" si="92"/>
        <v>1385006.4781999995</v>
      </c>
      <c r="N68" s="23">
        <f t="shared" si="92"/>
        <v>16620077.74</v>
      </c>
      <c r="O68" s="23">
        <f t="shared" si="92"/>
        <v>5019263.509999998</v>
      </c>
      <c r="P68" s="23">
        <f t="shared" si="92"/>
        <v>21639341.250000007</v>
      </c>
      <c r="Q68" s="111">
        <f t="shared" si="92"/>
        <v>49.05</v>
      </c>
      <c r="R68" s="111">
        <f t="shared" si="92"/>
        <v>10994459.4</v>
      </c>
      <c r="S68" s="111">
        <f t="shared" si="92"/>
        <v>3320326.7400000007</v>
      </c>
      <c r="T68" s="111">
        <f t="shared" si="92"/>
        <v>14314786.139999995</v>
      </c>
      <c r="U68" s="111">
        <f t="shared" si="92"/>
        <v>14314786.139999995</v>
      </c>
      <c r="V68" s="111">
        <f t="shared" si="92"/>
        <v>231684159.07728004</v>
      </c>
      <c r="W68" s="111">
        <f t="shared" si="92"/>
        <v>0</v>
      </c>
      <c r="X68" s="75">
        <f>SUM(X34:X67)</f>
        <v>271301976.50448</v>
      </c>
      <c r="Y68" s="75">
        <f t="shared" si="92"/>
        <v>0</v>
      </c>
      <c r="Z68" s="75">
        <f t="shared" si="92"/>
        <v>0</v>
      </c>
      <c r="AA68" s="75">
        <f t="shared" si="92"/>
        <v>0</v>
      </c>
      <c r="AB68" s="75">
        <f t="shared" si="92"/>
        <v>0</v>
      </c>
      <c r="AC68" s="75">
        <f t="shared" si="92"/>
        <v>948000</v>
      </c>
      <c r="AD68" s="75">
        <f t="shared" si="92"/>
        <v>2879550</v>
      </c>
      <c r="AE68" s="75">
        <f t="shared" si="92"/>
        <v>1303500</v>
      </c>
      <c r="AF68" s="75">
        <f t="shared" si="92"/>
        <v>305400</v>
      </c>
      <c r="AG68" s="75">
        <f t="shared" si="92"/>
        <v>1944000</v>
      </c>
      <c r="AH68" s="75">
        <f t="shared" si="92"/>
        <v>8750000</v>
      </c>
      <c r="AI68" s="75">
        <f t="shared" si="92"/>
        <v>321000</v>
      </c>
      <c r="AJ68" s="75">
        <f t="shared" si="92"/>
        <v>16843884.560000002</v>
      </c>
      <c r="AK68" s="75">
        <f>SUM(AK34:AK67)</f>
        <v>304597311.06448007</v>
      </c>
      <c r="AL68" s="118">
        <f t="shared" si="92"/>
        <v>0</v>
      </c>
      <c r="AM68" s="118">
        <f aca="true" t="shared" si="93" ref="AM68:AV68">SUM(AM34:AM67)</f>
        <v>237</v>
      </c>
      <c r="AN68" s="118">
        <f t="shared" si="93"/>
        <v>6800</v>
      </c>
      <c r="AO68" s="118">
        <f t="shared" si="93"/>
        <v>640</v>
      </c>
      <c r="AP68" s="118">
        <f t="shared" si="93"/>
        <v>948000</v>
      </c>
      <c r="AQ68" s="118">
        <f t="shared" si="93"/>
        <v>20400</v>
      </c>
      <c r="AR68" s="118">
        <f t="shared" si="93"/>
        <v>142200</v>
      </c>
      <c r="AS68" s="118">
        <f t="shared" si="93"/>
        <v>18700</v>
      </c>
      <c r="AT68" s="118">
        <f t="shared" si="93"/>
        <v>714</v>
      </c>
      <c r="AU68" s="118">
        <f t="shared" si="93"/>
        <v>2737350</v>
      </c>
      <c r="AV68" s="118">
        <f t="shared" si="93"/>
        <v>2879550</v>
      </c>
      <c r="AW68" s="23"/>
      <c r="AX68" s="23"/>
      <c r="AY68" s="23" t="e">
        <f>SUM(AY34:AY67)</f>
        <v>#REF!</v>
      </c>
      <c r="AZ68" s="23">
        <f>SUM(AZ34:AZ67)</f>
        <v>0</v>
      </c>
      <c r="BA68" s="23">
        <f>SUM(BA34:BA67)</f>
        <v>0</v>
      </c>
      <c r="BB68" s="92">
        <f>SUM(BB34:BB67)</f>
        <v>0</v>
      </c>
      <c r="BC68" s="22">
        <f aca="true" t="shared" si="94" ref="BC68:BH68">SUM(BC34:BC67)</f>
        <v>0</v>
      </c>
      <c r="BD68" s="22">
        <f t="shared" si="94"/>
        <v>0</v>
      </c>
      <c r="BE68" s="22">
        <f t="shared" si="94"/>
        <v>0</v>
      </c>
      <c r="BF68" s="22">
        <f t="shared" si="94"/>
        <v>2565525</v>
      </c>
      <c r="BG68" s="22">
        <f t="shared" si="94"/>
        <v>2565525</v>
      </c>
      <c r="BH68" s="22">
        <f t="shared" si="94"/>
        <v>5131050</v>
      </c>
      <c r="BI68" s="22">
        <f aca="true" t="shared" si="95" ref="BI68:BX68">SUM(BI34:BI67)</f>
        <v>0</v>
      </c>
      <c r="BJ68" s="22">
        <f t="shared" si="95"/>
        <v>305400</v>
      </c>
      <c r="BK68" s="22">
        <f t="shared" si="95"/>
        <v>305400</v>
      </c>
      <c r="BL68" s="22">
        <f t="shared" si="95"/>
        <v>0</v>
      </c>
      <c r="BM68" s="22">
        <f t="shared" si="95"/>
        <v>4375000</v>
      </c>
      <c r="BN68" s="22">
        <f t="shared" si="95"/>
        <v>4375000</v>
      </c>
      <c r="BO68" s="22">
        <f t="shared" si="95"/>
        <v>8750000</v>
      </c>
      <c r="BP68" s="22">
        <f t="shared" si="95"/>
        <v>0</v>
      </c>
      <c r="BQ68" s="22">
        <f t="shared" si="95"/>
        <v>0</v>
      </c>
      <c r="BR68" s="22">
        <f t="shared" si="95"/>
        <v>972000</v>
      </c>
      <c r="BS68" s="22">
        <f t="shared" si="95"/>
        <v>972000</v>
      </c>
      <c r="BT68" s="22">
        <f t="shared" si="95"/>
        <v>16843884.560000002</v>
      </c>
      <c r="BU68" s="22">
        <f t="shared" si="95"/>
        <v>18787884.56</v>
      </c>
      <c r="BV68" s="22">
        <f t="shared" si="95"/>
        <v>0</v>
      </c>
      <c r="BW68" s="22">
        <f t="shared" si="95"/>
        <v>321000</v>
      </c>
      <c r="BX68" s="22">
        <f t="shared" si="95"/>
        <v>321000</v>
      </c>
      <c r="BY68" s="23">
        <f aca="true" t="shared" si="96" ref="BY68:CO68">SUM(BY34:BY67)</f>
        <v>0</v>
      </c>
      <c r="BZ68" s="23">
        <f t="shared" si="96"/>
        <v>0</v>
      </c>
      <c r="CA68" s="86">
        <f t="shared" si="96"/>
        <v>0</v>
      </c>
      <c r="CB68" s="86">
        <f t="shared" si="96"/>
        <v>305400</v>
      </c>
      <c r="CC68" s="86">
        <f t="shared" si="96"/>
        <v>2565525</v>
      </c>
      <c r="CD68" s="86">
        <f t="shared" si="96"/>
        <v>3858525</v>
      </c>
      <c r="CE68" s="86">
        <f t="shared" si="96"/>
        <v>0</v>
      </c>
      <c r="CF68" s="86">
        <f t="shared" si="96"/>
        <v>0</v>
      </c>
      <c r="CG68" s="86">
        <f t="shared" si="96"/>
        <v>4375000</v>
      </c>
      <c r="CH68" s="86">
        <f t="shared" si="96"/>
        <v>4375000</v>
      </c>
      <c r="CI68" s="86">
        <f t="shared" si="96"/>
        <v>972000</v>
      </c>
      <c r="CJ68" s="86">
        <f t="shared" si="96"/>
        <v>0</v>
      </c>
      <c r="CK68" s="86">
        <f t="shared" si="96"/>
        <v>0</v>
      </c>
      <c r="CL68" s="86">
        <f t="shared" si="96"/>
        <v>16843884.560000002</v>
      </c>
      <c r="CM68" s="86">
        <f t="shared" si="96"/>
        <v>33295334.56</v>
      </c>
      <c r="CN68" s="86">
        <f t="shared" si="96"/>
        <v>33295334.56</v>
      </c>
      <c r="CO68" s="86">
        <f t="shared" si="96"/>
        <v>0</v>
      </c>
    </row>
    <row r="69" spans="1:93" s="1" customFormat="1" ht="27" customHeight="1">
      <c r="A69" s="171" t="s">
        <v>8</v>
      </c>
      <c r="B69" s="172"/>
      <c r="C69" s="173"/>
      <c r="D69" s="35">
        <f aca="true" t="shared" si="97" ref="D69:AJ69">D33+D68</f>
        <v>1319995.4974999998</v>
      </c>
      <c r="E69" s="35">
        <f t="shared" si="97"/>
        <v>62.245</v>
      </c>
      <c r="F69" s="35">
        <f t="shared" si="97"/>
        <v>1393488.2953374998</v>
      </c>
      <c r="G69" s="35">
        <f t="shared" si="97"/>
        <v>15009459.899999999</v>
      </c>
      <c r="H69" s="35">
        <f t="shared" si="97"/>
        <v>4532856.909999998</v>
      </c>
      <c r="I69" s="35">
        <f t="shared" si="97"/>
        <v>19542316.810000006</v>
      </c>
      <c r="J69" s="35">
        <f t="shared" si="97"/>
        <v>8601761.154200003</v>
      </c>
      <c r="K69" s="35">
        <f t="shared" si="97"/>
        <v>1310356.9499999997</v>
      </c>
      <c r="L69" s="35">
        <f>L33+L68</f>
        <v>62.245</v>
      </c>
      <c r="M69" s="35">
        <f>M33+M68</f>
        <v>1385006.4781999995</v>
      </c>
      <c r="N69" s="35">
        <f>N33+N68</f>
        <v>16620077.74</v>
      </c>
      <c r="O69" s="35">
        <f>O33+O68</f>
        <v>5019263.509999998</v>
      </c>
      <c r="P69" s="35">
        <f>P33+P68</f>
        <v>21639341.250000007</v>
      </c>
      <c r="Q69" s="113">
        <f t="shared" si="97"/>
        <v>107.1</v>
      </c>
      <c r="R69" s="113">
        <f>R33+R68</f>
        <v>24006250.8</v>
      </c>
      <c r="S69" s="113">
        <f>S33+S68</f>
        <v>7249887.760000002</v>
      </c>
      <c r="T69" s="113">
        <f>T33+T68</f>
        <v>31256138.559999987</v>
      </c>
      <c r="U69" s="113">
        <f>U33+U68</f>
        <v>28037281.600199997</v>
      </c>
      <c r="V69" s="113">
        <f t="shared" si="97"/>
        <v>273578851.70784</v>
      </c>
      <c r="W69" s="113">
        <f>W33+W68</f>
        <v>0</v>
      </c>
      <c r="X69" s="76">
        <f>X33+X68</f>
        <v>331857235.71224</v>
      </c>
      <c r="Y69" s="76">
        <f>Y33+Y68</f>
        <v>218544.3</v>
      </c>
      <c r="Z69" s="76">
        <f t="shared" si="97"/>
        <v>0</v>
      </c>
      <c r="AA69" s="76">
        <f>AA33+AA68</f>
        <v>37846</v>
      </c>
      <c r="AB69" s="76">
        <f t="shared" si="97"/>
        <v>454152</v>
      </c>
      <c r="AC69" s="76">
        <f>AC33+AC68</f>
        <v>1172000</v>
      </c>
      <c r="AD69" s="76">
        <f>AD33+AD68</f>
        <v>3559950</v>
      </c>
      <c r="AE69" s="76">
        <f t="shared" si="97"/>
        <v>1611500</v>
      </c>
      <c r="AF69" s="76">
        <f t="shared" si="97"/>
        <v>345600</v>
      </c>
      <c r="AG69" s="76">
        <f t="shared" si="97"/>
        <v>1978000</v>
      </c>
      <c r="AH69" s="76">
        <f t="shared" si="97"/>
        <v>9260000</v>
      </c>
      <c r="AI69" s="76">
        <f t="shared" si="97"/>
        <v>321000</v>
      </c>
      <c r="AJ69" s="76">
        <f t="shared" si="97"/>
        <v>16843884.560000002</v>
      </c>
      <c r="AK69" s="76">
        <f>AK33+AK68</f>
        <v>367621866.57224005</v>
      </c>
      <c r="AL69" s="93">
        <f>AL33+AL68</f>
        <v>0</v>
      </c>
      <c r="AM69" s="93">
        <f aca="true" t="shared" si="98" ref="AM69:AV69">AM33+AM68</f>
        <v>293</v>
      </c>
      <c r="AN69" s="93">
        <f t="shared" si="98"/>
        <v>11400</v>
      </c>
      <c r="AO69" s="93">
        <f t="shared" si="98"/>
        <v>1040</v>
      </c>
      <c r="AP69" s="93">
        <f t="shared" si="98"/>
        <v>1172000</v>
      </c>
      <c r="AQ69" s="93">
        <f t="shared" si="98"/>
        <v>34200</v>
      </c>
      <c r="AR69" s="93">
        <f t="shared" si="98"/>
        <v>175800</v>
      </c>
      <c r="AS69" s="93">
        <f t="shared" si="98"/>
        <v>31350</v>
      </c>
      <c r="AT69" s="93">
        <f t="shared" si="98"/>
        <v>1197</v>
      </c>
      <c r="AU69" s="93">
        <f t="shared" si="98"/>
        <v>3384150</v>
      </c>
      <c r="AV69" s="93">
        <f t="shared" si="98"/>
        <v>3559950</v>
      </c>
      <c r="AW69" s="35"/>
      <c r="AX69" s="35"/>
      <c r="AY69" s="35" t="e">
        <f>AY33+AY68</f>
        <v>#REF!</v>
      </c>
      <c r="AZ69" s="35">
        <f>AZ33+AZ68</f>
        <v>0</v>
      </c>
      <c r="BA69" s="35">
        <f>BA33+BA68</f>
        <v>37846</v>
      </c>
      <c r="BB69" s="93">
        <f>BB33+BB68</f>
        <v>0</v>
      </c>
      <c r="BC69" s="95">
        <f aca="true" t="shared" si="99" ref="BC69:BH69">BC33+BC68</f>
        <v>0</v>
      </c>
      <c r="BD69" s="95">
        <f t="shared" si="99"/>
        <v>0</v>
      </c>
      <c r="BE69" s="95">
        <f t="shared" si="99"/>
        <v>0</v>
      </c>
      <c r="BF69" s="95">
        <f t="shared" si="99"/>
        <v>3171725</v>
      </c>
      <c r="BG69" s="95">
        <f t="shared" si="99"/>
        <v>3171725</v>
      </c>
      <c r="BH69" s="95">
        <f t="shared" si="99"/>
        <v>6343450</v>
      </c>
      <c r="BI69" s="95">
        <f aca="true" t="shared" si="100" ref="BI69:BX69">BI33+BI68</f>
        <v>0</v>
      </c>
      <c r="BJ69" s="95">
        <f t="shared" si="100"/>
        <v>345600</v>
      </c>
      <c r="BK69" s="95">
        <f t="shared" si="100"/>
        <v>345600</v>
      </c>
      <c r="BL69" s="95">
        <f t="shared" si="100"/>
        <v>0</v>
      </c>
      <c r="BM69" s="95">
        <f t="shared" si="100"/>
        <v>4630000</v>
      </c>
      <c r="BN69" s="95">
        <f t="shared" si="100"/>
        <v>4630000</v>
      </c>
      <c r="BO69" s="95">
        <f t="shared" si="100"/>
        <v>9260000</v>
      </c>
      <c r="BP69" s="95">
        <f t="shared" si="100"/>
        <v>0</v>
      </c>
      <c r="BQ69" s="95">
        <f t="shared" si="100"/>
        <v>34000</v>
      </c>
      <c r="BR69" s="95">
        <f t="shared" si="100"/>
        <v>972000</v>
      </c>
      <c r="BS69" s="95">
        <f t="shared" si="100"/>
        <v>972000</v>
      </c>
      <c r="BT69" s="95">
        <f t="shared" si="100"/>
        <v>16843884.560000002</v>
      </c>
      <c r="BU69" s="95">
        <f t="shared" si="100"/>
        <v>18821884.56</v>
      </c>
      <c r="BV69" s="95">
        <f t="shared" si="100"/>
        <v>0</v>
      </c>
      <c r="BW69" s="95">
        <f t="shared" si="100"/>
        <v>321000</v>
      </c>
      <c r="BX69" s="95">
        <f t="shared" si="100"/>
        <v>321000</v>
      </c>
      <c r="BY69" s="35">
        <f aca="true" t="shared" si="101" ref="BY69:CO69">BY33+BY68</f>
        <v>0</v>
      </c>
      <c r="BZ69" s="35">
        <f t="shared" si="101"/>
        <v>0</v>
      </c>
      <c r="CA69" s="87">
        <f t="shared" si="101"/>
        <v>0</v>
      </c>
      <c r="CB69" s="87">
        <f t="shared" si="101"/>
        <v>379600</v>
      </c>
      <c r="CC69" s="87">
        <f t="shared" si="101"/>
        <v>3171725</v>
      </c>
      <c r="CD69" s="87">
        <f t="shared" si="101"/>
        <v>4464725</v>
      </c>
      <c r="CE69" s="87">
        <f t="shared" si="101"/>
        <v>0</v>
      </c>
      <c r="CF69" s="87">
        <f t="shared" si="101"/>
        <v>0</v>
      </c>
      <c r="CG69" s="87">
        <f t="shared" si="101"/>
        <v>4630000</v>
      </c>
      <c r="CH69" s="87">
        <f t="shared" si="101"/>
        <v>4630000</v>
      </c>
      <c r="CI69" s="87">
        <f t="shared" si="101"/>
        <v>972000</v>
      </c>
      <c r="CJ69" s="87">
        <f t="shared" si="101"/>
        <v>0</v>
      </c>
      <c r="CK69" s="87">
        <f t="shared" si="101"/>
        <v>0</v>
      </c>
      <c r="CL69" s="87">
        <f t="shared" si="101"/>
        <v>16843884.560000002</v>
      </c>
      <c r="CM69" s="87">
        <f t="shared" si="101"/>
        <v>35091934.56</v>
      </c>
      <c r="CN69" s="87">
        <f t="shared" si="101"/>
        <v>35091934.56</v>
      </c>
      <c r="CO69" s="87">
        <f t="shared" si="101"/>
        <v>0</v>
      </c>
    </row>
    <row r="70" ht="15" customHeight="1"/>
    <row r="71" ht="15" customHeight="1"/>
    <row r="72" spans="8:50" ht="15">
      <c r="H72" s="30"/>
      <c r="I72" s="30"/>
      <c r="J72" s="30"/>
      <c r="X72" s="16" t="s">
        <v>78</v>
      </c>
      <c r="AB72" s="27" t="s">
        <v>66</v>
      </c>
      <c r="AK72" s="27"/>
      <c r="AL72" s="24"/>
      <c r="AM72" s="24"/>
      <c r="AN72" s="24"/>
      <c r="AO72" s="24"/>
      <c r="AP72" s="66"/>
      <c r="AQ72" s="24"/>
      <c r="AR72" s="24"/>
      <c r="AS72" s="24"/>
      <c r="AT72" s="24"/>
      <c r="AU72" s="66"/>
      <c r="AV72" s="66"/>
      <c r="AW72" s="66"/>
      <c r="AX72" s="66"/>
    </row>
    <row r="73" spans="3:37" ht="15">
      <c r="C73" s="25">
        <v>41122293.199</v>
      </c>
      <c r="X73" s="27">
        <f>X6+X7+X8+X9+X10+X11+X12+X13+X14+X15+X16+X17+X18+X24+X25+X26+X27+X28+X29+X30</f>
        <v>40728678.01798</v>
      </c>
      <c r="Y73" s="27">
        <f>Y6+Y7+Y8+Y9+Y10+Y11+Y12+Y13+Y14+Y15+Y16+Y17+Y18+Y24+Y25+Y26+Y27+Y28+Y29+Y30</f>
        <v>218544.30000000005</v>
      </c>
      <c r="Z73" s="27">
        <f aca="true" t="shared" si="102" ref="Z73:AJ73">Z6+Z7+Z8+Z9+Z10+Z11+Z12+Z13+Z14+Z15+Z16+Z17+Z18+Z24+Z25+Z26+Z27+Z28+Z29+Z30</f>
        <v>0</v>
      </c>
      <c r="AA73" s="27"/>
      <c r="AB73" s="27">
        <f t="shared" si="102"/>
        <v>335100</v>
      </c>
      <c r="AC73" s="27">
        <f t="shared" si="102"/>
        <v>140000</v>
      </c>
      <c r="AD73" s="27">
        <f t="shared" si="102"/>
        <v>425250</v>
      </c>
      <c r="AE73" s="27">
        <f t="shared" si="102"/>
        <v>192500</v>
      </c>
      <c r="AF73" s="65">
        <f t="shared" si="102"/>
        <v>28500</v>
      </c>
      <c r="AG73" s="27">
        <f t="shared" si="102"/>
        <v>26000</v>
      </c>
      <c r="AH73" s="65">
        <f t="shared" si="102"/>
        <v>390000</v>
      </c>
      <c r="AI73" s="27">
        <f t="shared" si="102"/>
        <v>0</v>
      </c>
      <c r="AJ73" s="27">
        <f t="shared" si="102"/>
        <v>0</v>
      </c>
      <c r="AK73" s="27">
        <f>X73+Z73+AB73+AC73+AD73+AE73+AF73+AG73+AH73+AI73+AJ73</f>
        <v>42266028.01798</v>
      </c>
    </row>
    <row r="74" spans="3:37" ht="15">
      <c r="C74" s="25">
        <v>18838524.064840004</v>
      </c>
      <c r="X74" s="27">
        <f>X19+X20+X21+X22+X31</f>
        <v>19826581.18978</v>
      </c>
      <c r="Y74" s="27">
        <f>Y19+Y20+Y21+Y22+Y31</f>
        <v>0</v>
      </c>
      <c r="Z74" s="27">
        <f aca="true" t="shared" si="103" ref="Z74:AJ74">Z19+Z20+Z21+Z22+Z31</f>
        <v>0</v>
      </c>
      <c r="AA74" s="27"/>
      <c r="AB74" s="27">
        <f t="shared" si="103"/>
        <v>119052</v>
      </c>
      <c r="AC74" s="27">
        <f t="shared" si="103"/>
        <v>84000</v>
      </c>
      <c r="AD74" s="27">
        <f t="shared" si="103"/>
        <v>255150</v>
      </c>
      <c r="AE74" s="27">
        <f t="shared" si="103"/>
        <v>115500</v>
      </c>
      <c r="AF74" s="65">
        <f t="shared" si="103"/>
        <v>11700</v>
      </c>
      <c r="AG74" s="27">
        <f t="shared" si="103"/>
        <v>8000</v>
      </c>
      <c r="AH74" s="65">
        <f t="shared" si="103"/>
        <v>120000</v>
      </c>
      <c r="AI74" s="27">
        <f t="shared" si="103"/>
        <v>0</v>
      </c>
      <c r="AJ74" s="27">
        <f t="shared" si="103"/>
        <v>0</v>
      </c>
      <c r="AK74" s="27">
        <f>X74+Z74+AB74+AC74+AD74+AE74+AF74+AG74+AH74+AI74+AJ74</f>
        <v>20539983.18978</v>
      </c>
    </row>
    <row r="75" spans="3:50" ht="15">
      <c r="C75" s="25">
        <v>59960817.263840005</v>
      </c>
      <c r="W75" s="27" t="s">
        <v>108</v>
      </c>
      <c r="X75" s="120">
        <f>X73+X74</f>
        <v>60555259.207760006</v>
      </c>
      <c r="Y75" s="120">
        <f>Y73+Y74</f>
        <v>218544.30000000005</v>
      </c>
      <c r="Z75" s="120">
        <f aca="true" t="shared" si="104" ref="Z75:AK75">Z73+Z74</f>
        <v>0</v>
      </c>
      <c r="AA75" s="120"/>
      <c r="AB75" s="120">
        <f t="shared" si="104"/>
        <v>454152</v>
      </c>
      <c r="AC75" s="120">
        <f t="shared" si="104"/>
        <v>224000</v>
      </c>
      <c r="AD75" s="120">
        <f t="shared" si="104"/>
        <v>680400</v>
      </c>
      <c r="AE75" s="120">
        <f t="shared" si="104"/>
        <v>308000</v>
      </c>
      <c r="AF75" s="145">
        <f t="shared" si="104"/>
        <v>40200</v>
      </c>
      <c r="AG75" s="120">
        <f t="shared" si="104"/>
        <v>34000</v>
      </c>
      <c r="AH75" s="145">
        <f t="shared" si="104"/>
        <v>510000</v>
      </c>
      <c r="AI75" s="120">
        <f t="shared" si="104"/>
        <v>0</v>
      </c>
      <c r="AJ75" s="120">
        <f t="shared" si="104"/>
        <v>0</v>
      </c>
      <c r="AK75" s="120">
        <f t="shared" si="104"/>
        <v>62806011.207760006</v>
      </c>
      <c r="AL75" s="42">
        <f>AK81*1000-AK75</f>
        <v>-10154611.207760006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</row>
    <row r="76" spans="24:37" ht="15">
      <c r="X76" s="27">
        <f>X34+X35+X36+X37+X38+X39+X40+X41+X42+X43+X44+X45+X46+X47+X48+X49+X50+X51+X52+X53+X54+X55+X56+X57+X58+X59+X60+X61+X62+X63+X64+X65</f>
        <v>246102771.05755997</v>
      </c>
      <c r="Y76" s="27">
        <f>Y34+Y35+Y36+Y37+Y38+Y39+Y40+Y41+Y42+Y43+Y44+Y45+Y46+Y47+Y48+Y49+Y50+Y51+Y52+Y53+Y54+Y55+Y56+Y57+Y58+Y59+Y60+Y61+Y62+Y63+Y64+Y65</f>
        <v>0</v>
      </c>
      <c r="Z76" s="27">
        <f aca="true" t="shared" si="105" ref="Z76:AJ76">Z34+Z35+Z36+Z37+Z38+Z39+Z40+Z41+Z42+Z43+Z44+Z45+Z46+Z47+Z48+Z49+Z50+Z51+Z52+Z53+Z54+Z55+Z56+Z57+Z58+Z59+Z60+Z61+Z62+Z63+Z64+Z65</f>
        <v>0</v>
      </c>
      <c r="AA76" s="27"/>
      <c r="AB76" s="27">
        <f t="shared" si="105"/>
        <v>0</v>
      </c>
      <c r="AC76" s="27">
        <f t="shared" si="105"/>
        <v>852000</v>
      </c>
      <c r="AD76" s="27">
        <f t="shared" si="105"/>
        <v>2587950</v>
      </c>
      <c r="AE76" s="27">
        <f t="shared" si="105"/>
        <v>1171500</v>
      </c>
      <c r="AF76" s="65">
        <f t="shared" si="105"/>
        <v>280200</v>
      </c>
      <c r="AG76" s="27">
        <f t="shared" si="105"/>
        <v>1800000</v>
      </c>
      <c r="AH76" s="65">
        <f t="shared" si="105"/>
        <v>8140000</v>
      </c>
      <c r="AI76" s="27">
        <f t="shared" si="105"/>
        <v>307000</v>
      </c>
      <c r="AJ76" s="27">
        <f t="shared" si="105"/>
        <v>15843884.56</v>
      </c>
      <c r="AK76" s="27">
        <f>X76+Z76+AB76+AC76+AD76+AE76+AF76+AG76+AH76+AI76+AJ76</f>
        <v>277085305.61755997</v>
      </c>
    </row>
    <row r="77" spans="24:37" ht="15">
      <c r="X77" s="27">
        <f>X66+X67</f>
        <v>25199205.44692</v>
      </c>
      <c r="Y77" s="27">
        <f>Y66+Y67</f>
        <v>0</v>
      </c>
      <c r="Z77" s="27">
        <f aca="true" t="shared" si="106" ref="Z77:AJ77">Z66+Z67</f>
        <v>0</v>
      </c>
      <c r="AA77" s="27"/>
      <c r="AB77" s="27">
        <f t="shared" si="106"/>
        <v>0</v>
      </c>
      <c r="AC77" s="27">
        <f t="shared" si="106"/>
        <v>96000</v>
      </c>
      <c r="AD77" s="27">
        <f t="shared" si="106"/>
        <v>291600</v>
      </c>
      <c r="AE77" s="27">
        <f t="shared" si="106"/>
        <v>132000</v>
      </c>
      <c r="AF77" s="65">
        <f t="shared" si="106"/>
        <v>25200</v>
      </c>
      <c r="AG77" s="27">
        <f t="shared" si="106"/>
        <v>144000</v>
      </c>
      <c r="AH77" s="65">
        <f t="shared" si="106"/>
        <v>610000</v>
      </c>
      <c r="AI77" s="27">
        <f t="shared" si="106"/>
        <v>14000</v>
      </c>
      <c r="AJ77" s="27">
        <f t="shared" si="106"/>
        <v>1000000</v>
      </c>
      <c r="AK77" s="27">
        <f>X77+Z77+AB77+AC77+AD77+AE77+AF77+AG77+AH77+AI77+AJ77</f>
        <v>27512005.44692</v>
      </c>
    </row>
    <row r="78" spans="23:50" ht="15">
      <c r="W78" s="27" t="s">
        <v>109</v>
      </c>
      <c r="X78" s="120">
        <f>X76+X77</f>
        <v>271301976.50447994</v>
      </c>
      <c r="Y78" s="120">
        <f>Y76+Y77</f>
        <v>0</v>
      </c>
      <c r="Z78" s="120">
        <f aca="true" t="shared" si="107" ref="Z78:AK78">Z76+Z77</f>
        <v>0</v>
      </c>
      <c r="AA78" s="120"/>
      <c r="AB78" s="120">
        <f t="shared" si="107"/>
        <v>0</v>
      </c>
      <c r="AC78" s="120">
        <f t="shared" si="107"/>
        <v>948000</v>
      </c>
      <c r="AD78" s="120">
        <f t="shared" si="107"/>
        <v>2879550</v>
      </c>
      <c r="AE78" s="120">
        <f t="shared" si="107"/>
        <v>1303500</v>
      </c>
      <c r="AF78" s="145">
        <f t="shared" si="107"/>
        <v>305400</v>
      </c>
      <c r="AG78" s="120">
        <f t="shared" si="107"/>
        <v>1944000</v>
      </c>
      <c r="AH78" s="145">
        <f t="shared" si="107"/>
        <v>8750000</v>
      </c>
      <c r="AI78" s="120">
        <f t="shared" si="107"/>
        <v>321000</v>
      </c>
      <c r="AJ78" s="120">
        <f t="shared" si="107"/>
        <v>16843884.560000002</v>
      </c>
      <c r="AK78" s="120">
        <f t="shared" si="107"/>
        <v>304597311.06447995</v>
      </c>
      <c r="AL78" s="42">
        <f>AK82*1000-AK78</f>
        <v>-39206211.06447998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</row>
    <row r="79" spans="37:51" ht="15">
      <c r="AK79" s="27"/>
      <c r="AL79" s="6">
        <f>AL78-C81</f>
        <v>-38611769.120559976</v>
      </c>
      <c r="AM79" s="6"/>
      <c r="AN79" s="6"/>
      <c r="AO79" s="6"/>
      <c r="AQ79" s="6"/>
      <c r="AR79" s="6"/>
      <c r="AS79" s="6"/>
      <c r="AT79" s="6"/>
      <c r="AY79" t="s">
        <v>115</v>
      </c>
    </row>
    <row r="80" ht="15">
      <c r="AK80" s="16" t="s">
        <v>110</v>
      </c>
    </row>
    <row r="81" spans="3:37" ht="15">
      <c r="C81" s="6">
        <f>C75-X75</f>
        <v>-594441.9439200014</v>
      </c>
      <c r="X81" s="27">
        <f>X75+X78</f>
        <v>331857235.71224</v>
      </c>
      <c r="Y81" s="27"/>
      <c r="AJ81" s="16" t="s">
        <v>108</v>
      </c>
      <c r="AK81" s="27">
        <v>52651.4</v>
      </c>
    </row>
    <row r="82" spans="24:37" ht="15">
      <c r="X82" s="27"/>
      <c r="Y82" s="27"/>
      <c r="AJ82" s="16" t="s">
        <v>109</v>
      </c>
      <c r="AK82" s="27">
        <v>265391.1</v>
      </c>
    </row>
    <row r="83" spans="24:25" ht="15">
      <c r="X83" s="27"/>
      <c r="Y83" s="27"/>
    </row>
  </sheetData>
  <sheetProtection/>
  <mergeCells count="39">
    <mergeCell ref="I4:I5"/>
    <mergeCell ref="AC1:AE1"/>
    <mergeCell ref="A33:C33"/>
    <mergeCell ref="D3:I3"/>
    <mergeCell ref="Q3:T3"/>
    <mergeCell ref="K3:P3"/>
    <mergeCell ref="K4:K5"/>
    <mergeCell ref="P4:P5"/>
    <mergeCell ref="Q4:Q5"/>
    <mergeCell ref="N5:O5"/>
    <mergeCell ref="F4:F5"/>
    <mergeCell ref="D4:D5"/>
    <mergeCell ref="A68:C68"/>
    <mergeCell ref="A69:C69"/>
    <mergeCell ref="AG4:AG5"/>
    <mergeCell ref="AK4:AK5"/>
    <mergeCell ref="G5:H5"/>
    <mergeCell ref="A23:C23"/>
    <mergeCell ref="A32:C32"/>
    <mergeCell ref="T4:T5"/>
    <mergeCell ref="Y4:Y5"/>
    <mergeCell ref="BW4:BX4"/>
    <mergeCell ref="CA4:CM4"/>
    <mergeCell ref="BC4:BD4"/>
    <mergeCell ref="BF4:BH4"/>
    <mergeCell ref="BJ4:BK4"/>
    <mergeCell ref="BM4:BO4"/>
    <mergeCell ref="BQ4:BU4"/>
    <mergeCell ref="AN4:AP4"/>
    <mergeCell ref="AM3:AV3"/>
    <mergeCell ref="AQ4:AR4"/>
    <mergeCell ref="AS4:AU4"/>
    <mergeCell ref="M4:M5"/>
    <mergeCell ref="AA5:AB5"/>
    <mergeCell ref="X4:X5"/>
    <mergeCell ref="AE4:AE5"/>
    <mergeCell ref="AF4:AF5"/>
    <mergeCell ref="V3:W3"/>
    <mergeCell ref="AH4:AH5"/>
  </mergeCells>
  <printOptions/>
  <pageMargins left="0.2362204724409449" right="0.15748031496062992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W81"/>
  <sheetViews>
    <sheetView tabSelected="1" zoomScalePageLayoutView="0" workbookViewId="0" topLeftCell="A25">
      <selection activeCell="X1" sqref="X1:DQ16384"/>
    </sheetView>
  </sheetViews>
  <sheetFormatPr defaultColWidth="9.140625" defaultRowHeight="15"/>
  <cols>
    <col min="1" max="2" width="4.00390625" style="0" customWidth="1"/>
    <col min="3" max="3" width="28.8515625" style="0" customWidth="1"/>
    <col min="4" max="4" width="14.421875" style="16" customWidth="1"/>
    <col min="5" max="5" width="14.7109375" style="16" customWidth="1"/>
    <col min="6" max="6" width="13.7109375" style="16" customWidth="1"/>
    <col min="7" max="7" width="22.8515625" style="0" customWidth="1"/>
    <col min="8" max="10" width="11.8515625" style="0" customWidth="1"/>
    <col min="11" max="11" width="15.28125" style="6" customWidth="1"/>
    <col min="12" max="15" width="11.8515625" style="0" customWidth="1"/>
    <col min="16" max="16" width="13.421875" style="6" customWidth="1"/>
    <col min="17" max="17" width="13.28125" style="6" customWidth="1"/>
    <col min="18" max="19" width="11.8515625" style="6" customWidth="1"/>
    <col min="20" max="20" width="13.8515625" style="0" customWidth="1"/>
    <col min="21" max="21" width="14.140625" style="0" customWidth="1"/>
    <col min="22" max="22" width="14.00390625" style="0" customWidth="1"/>
    <col min="23" max="23" width="9.140625" style="0" customWidth="1"/>
  </cols>
  <sheetData>
    <row r="1" spans="4:6" ht="15">
      <c r="D1" s="181" t="s">
        <v>74</v>
      </c>
      <c r="E1" s="181"/>
      <c r="F1" s="181"/>
    </row>
    <row r="2" spans="2:5" ht="18" customHeight="1">
      <c r="B2" s="5"/>
      <c r="C2" s="5"/>
      <c r="D2" s="128"/>
      <c r="E2" s="128"/>
    </row>
    <row r="3" spans="4:19" s="26" customFormat="1" ht="39.75" customHeight="1">
      <c r="D3" s="50" t="s">
        <v>68</v>
      </c>
      <c r="E3" s="50" t="s">
        <v>69</v>
      </c>
      <c r="F3" s="125" t="s">
        <v>144</v>
      </c>
      <c r="H3" s="152" t="s">
        <v>77</v>
      </c>
      <c r="I3" s="152"/>
      <c r="J3" s="152"/>
      <c r="K3" s="152"/>
      <c r="L3" s="152"/>
      <c r="M3" s="152"/>
      <c r="N3" s="152"/>
      <c r="O3" s="152"/>
      <c r="P3" s="152"/>
      <c r="Q3" s="152"/>
      <c r="R3" s="80"/>
      <c r="S3" s="80"/>
    </row>
    <row r="4" spans="1:23" s="138" customFormat="1" ht="43.5" customHeight="1">
      <c r="A4" s="137" t="s">
        <v>7</v>
      </c>
      <c r="B4" s="137" t="s">
        <v>2</v>
      </c>
      <c r="C4" s="137" t="s">
        <v>0</v>
      </c>
      <c r="D4" s="126"/>
      <c r="E4" s="126"/>
      <c r="F4" s="159" t="s">
        <v>70</v>
      </c>
      <c r="I4" s="153" t="s">
        <v>125</v>
      </c>
      <c r="J4" s="153"/>
      <c r="K4" s="153"/>
      <c r="L4" s="153" t="s">
        <v>129</v>
      </c>
      <c r="M4" s="153"/>
      <c r="N4" s="153" t="s">
        <v>130</v>
      </c>
      <c r="O4" s="153"/>
      <c r="P4" s="153"/>
      <c r="Q4" s="129"/>
      <c r="R4" s="129"/>
      <c r="S4" s="129"/>
      <c r="T4" s="196">
        <v>226</v>
      </c>
      <c r="U4" s="196"/>
      <c r="V4" s="197"/>
      <c r="W4" s="137"/>
    </row>
    <row r="5" spans="1:23" s="89" customFormat="1" ht="44.25" customHeight="1">
      <c r="A5" s="88"/>
      <c r="B5" s="88"/>
      <c r="C5" s="88"/>
      <c r="D5" s="127" t="s">
        <v>124</v>
      </c>
      <c r="E5" s="127" t="s">
        <v>126</v>
      </c>
      <c r="F5" s="159"/>
      <c r="H5" s="15" t="s">
        <v>127</v>
      </c>
      <c r="I5" s="15" t="s">
        <v>125</v>
      </c>
      <c r="J5" s="15" t="s">
        <v>128</v>
      </c>
      <c r="K5" s="131" t="s">
        <v>132</v>
      </c>
      <c r="L5" s="15" t="s">
        <v>133</v>
      </c>
      <c r="M5" s="15" t="s">
        <v>134</v>
      </c>
      <c r="N5" s="15" t="s">
        <v>135</v>
      </c>
      <c r="O5" s="15" t="s">
        <v>128</v>
      </c>
      <c r="P5" s="15" t="s">
        <v>136</v>
      </c>
      <c r="Q5" s="132" t="s">
        <v>131</v>
      </c>
      <c r="R5" s="130"/>
      <c r="S5" s="130"/>
      <c r="T5" s="15" t="s">
        <v>81</v>
      </c>
      <c r="U5" s="15" t="s">
        <v>82</v>
      </c>
      <c r="V5" s="15" t="s">
        <v>58</v>
      </c>
      <c r="W5" s="88"/>
    </row>
    <row r="6" spans="1:23" s="26" customFormat="1" ht="15" customHeight="1">
      <c r="A6" s="36">
        <v>1</v>
      </c>
      <c r="B6" s="51" t="s">
        <v>5</v>
      </c>
      <c r="C6" s="2" t="s">
        <v>91</v>
      </c>
      <c r="D6" s="67"/>
      <c r="E6" s="67"/>
      <c r="F6" s="67"/>
      <c r="H6" s="36"/>
      <c r="I6" s="36"/>
      <c r="J6" s="36"/>
      <c r="K6" s="81"/>
      <c r="L6" s="36"/>
      <c r="M6" s="36"/>
      <c r="N6" s="36"/>
      <c r="O6" s="36"/>
      <c r="P6" s="37"/>
      <c r="Q6" s="81"/>
      <c r="R6" s="37"/>
      <c r="S6" s="37"/>
      <c r="T6" s="37">
        <f aca="true" t="shared" si="0" ref="T6:T22">(D6+E6+F6)/2</f>
        <v>0</v>
      </c>
      <c r="U6" s="37">
        <f>T6</f>
        <v>0</v>
      </c>
      <c r="V6" s="37">
        <f>T6+U6</f>
        <v>0</v>
      </c>
      <c r="W6" s="37"/>
    </row>
    <row r="7" spans="1:23" s="26" customFormat="1" ht="15" customHeight="1">
      <c r="A7" s="36">
        <v>2</v>
      </c>
      <c r="B7" s="51"/>
      <c r="C7" s="3" t="s">
        <v>92</v>
      </c>
      <c r="D7" s="67"/>
      <c r="E7" s="67"/>
      <c r="F7" s="67"/>
      <c r="H7" s="36"/>
      <c r="I7" s="36"/>
      <c r="J7" s="36"/>
      <c r="K7" s="81"/>
      <c r="L7" s="36"/>
      <c r="M7" s="36"/>
      <c r="N7" s="36"/>
      <c r="O7" s="36"/>
      <c r="P7" s="37"/>
      <c r="Q7" s="81"/>
      <c r="R7" s="37"/>
      <c r="S7" s="37"/>
      <c r="T7" s="37">
        <f t="shared" si="0"/>
        <v>0</v>
      </c>
      <c r="U7" s="37">
        <f aca="true" t="shared" si="1" ref="U7:U67">T7</f>
        <v>0</v>
      </c>
      <c r="V7" s="37">
        <f aca="true" t="shared" si="2" ref="V7:V67">T7+U7</f>
        <v>0</v>
      </c>
      <c r="W7" s="37"/>
    </row>
    <row r="8" spans="1:23" s="26" customFormat="1" ht="15">
      <c r="A8" s="36">
        <v>3</v>
      </c>
      <c r="B8" s="51"/>
      <c r="C8" s="2" t="s">
        <v>93</v>
      </c>
      <c r="D8" s="67"/>
      <c r="E8" s="67"/>
      <c r="F8" s="67"/>
      <c r="H8" s="36">
        <v>4</v>
      </c>
      <c r="I8" s="36">
        <v>200</v>
      </c>
      <c r="J8" s="36">
        <v>20</v>
      </c>
      <c r="K8" s="81">
        <f>H8*I8*J8</f>
        <v>16000</v>
      </c>
      <c r="L8" s="36">
        <v>600</v>
      </c>
      <c r="M8" s="36">
        <f>H8*L8</f>
        <v>2400</v>
      </c>
      <c r="N8" s="36">
        <v>550</v>
      </c>
      <c r="O8" s="36">
        <v>21</v>
      </c>
      <c r="P8" s="37">
        <f>N8*O8*H8</f>
        <v>46200</v>
      </c>
      <c r="Q8" s="81">
        <f>M8+P8</f>
        <v>48600</v>
      </c>
      <c r="R8" s="37"/>
      <c r="S8" s="9"/>
      <c r="T8" s="37">
        <f t="shared" si="0"/>
        <v>0</v>
      </c>
      <c r="U8" s="37">
        <f t="shared" si="1"/>
        <v>0</v>
      </c>
      <c r="V8" s="37">
        <f t="shared" si="2"/>
        <v>0</v>
      </c>
      <c r="W8" s="37"/>
    </row>
    <row r="9" spans="1:23" s="26" customFormat="1" ht="15" customHeight="1">
      <c r="A9" s="36">
        <v>4</v>
      </c>
      <c r="B9" s="51"/>
      <c r="C9" s="2" t="s">
        <v>94</v>
      </c>
      <c r="D9" s="67"/>
      <c r="E9" s="67"/>
      <c r="F9" s="67"/>
      <c r="H9" s="36">
        <v>4</v>
      </c>
      <c r="I9" s="36">
        <v>200</v>
      </c>
      <c r="J9" s="36">
        <v>20</v>
      </c>
      <c r="K9" s="81">
        <f aca="true" t="shared" si="3" ref="K9:K67">H9*I9*J9</f>
        <v>16000</v>
      </c>
      <c r="L9" s="36">
        <f aca="true" t="shared" si="4" ref="L9:L67">300*2</f>
        <v>600</v>
      </c>
      <c r="M9" s="36">
        <f aca="true" t="shared" si="5" ref="M9:M67">H9*L9</f>
        <v>2400</v>
      </c>
      <c r="N9" s="36">
        <v>550</v>
      </c>
      <c r="O9" s="36">
        <v>21</v>
      </c>
      <c r="P9" s="37">
        <f aca="true" t="shared" si="6" ref="P9:P67">N9*O9*H9</f>
        <v>46200</v>
      </c>
      <c r="Q9" s="81">
        <f aca="true" t="shared" si="7" ref="Q9:Q67">M9+P9</f>
        <v>48600</v>
      </c>
      <c r="R9" s="37"/>
      <c r="S9" s="37"/>
      <c r="T9" s="37">
        <f t="shared" si="0"/>
        <v>0</v>
      </c>
      <c r="U9" s="37">
        <f t="shared" si="1"/>
        <v>0</v>
      </c>
      <c r="V9" s="37">
        <f t="shared" si="2"/>
        <v>0</v>
      </c>
      <c r="W9" s="37"/>
    </row>
    <row r="10" spans="1:23" s="26" customFormat="1" ht="15" customHeight="1">
      <c r="A10" s="36">
        <v>5</v>
      </c>
      <c r="B10" s="51"/>
      <c r="C10" s="2" t="s">
        <v>95</v>
      </c>
      <c r="D10" s="67"/>
      <c r="E10" s="67"/>
      <c r="F10" s="67"/>
      <c r="H10" s="36">
        <v>5</v>
      </c>
      <c r="I10" s="36">
        <v>200</v>
      </c>
      <c r="J10" s="36">
        <f>D10/H10/I10</f>
        <v>0</v>
      </c>
      <c r="K10" s="81">
        <f t="shared" si="3"/>
        <v>0</v>
      </c>
      <c r="L10" s="36">
        <f t="shared" si="4"/>
        <v>600</v>
      </c>
      <c r="M10" s="36">
        <f t="shared" si="5"/>
        <v>3000</v>
      </c>
      <c r="N10" s="36">
        <v>550</v>
      </c>
      <c r="O10" s="36">
        <v>21</v>
      </c>
      <c r="P10" s="37">
        <f t="shared" si="6"/>
        <v>57750</v>
      </c>
      <c r="Q10" s="81">
        <f t="shared" si="7"/>
        <v>60750</v>
      </c>
      <c r="R10" s="37"/>
      <c r="S10" s="37"/>
      <c r="T10" s="37">
        <f t="shared" si="0"/>
        <v>0</v>
      </c>
      <c r="U10" s="37">
        <f t="shared" si="1"/>
        <v>0</v>
      </c>
      <c r="V10" s="37">
        <f t="shared" si="2"/>
        <v>0</v>
      </c>
      <c r="W10" s="37"/>
    </row>
    <row r="11" spans="1:23" s="26" customFormat="1" ht="15" customHeight="1">
      <c r="A11" s="36">
        <v>6</v>
      </c>
      <c r="B11" s="51"/>
      <c r="C11" s="2" t="s">
        <v>96</v>
      </c>
      <c r="D11" s="67"/>
      <c r="E11" s="67"/>
      <c r="F11" s="67"/>
      <c r="H11" s="36">
        <v>3</v>
      </c>
      <c r="I11" s="36">
        <v>200</v>
      </c>
      <c r="J11" s="36">
        <f>D11/H11/I11</f>
        <v>0</v>
      </c>
      <c r="K11" s="81">
        <f t="shared" si="3"/>
        <v>0</v>
      </c>
      <c r="L11" s="36">
        <f t="shared" si="4"/>
        <v>600</v>
      </c>
      <c r="M11" s="36">
        <f t="shared" si="5"/>
        <v>1800</v>
      </c>
      <c r="N11" s="36">
        <v>550</v>
      </c>
      <c r="O11" s="36">
        <v>21</v>
      </c>
      <c r="P11" s="37">
        <f t="shared" si="6"/>
        <v>34650</v>
      </c>
      <c r="Q11" s="81">
        <f t="shared" si="7"/>
        <v>36450</v>
      </c>
      <c r="R11" s="37"/>
      <c r="S11" s="37"/>
      <c r="T11" s="37">
        <f t="shared" si="0"/>
        <v>0</v>
      </c>
      <c r="U11" s="37">
        <f t="shared" si="1"/>
        <v>0</v>
      </c>
      <c r="V11" s="37">
        <f t="shared" si="2"/>
        <v>0</v>
      </c>
      <c r="W11" s="37"/>
    </row>
    <row r="12" spans="1:23" s="26" customFormat="1" ht="15" customHeight="1">
      <c r="A12" s="36">
        <v>7</v>
      </c>
      <c r="B12" s="51"/>
      <c r="C12" s="2" t="s">
        <v>97</v>
      </c>
      <c r="D12" s="67"/>
      <c r="E12" s="67"/>
      <c r="F12" s="67"/>
      <c r="H12" s="36">
        <v>1</v>
      </c>
      <c r="I12" s="36">
        <v>200</v>
      </c>
      <c r="J12" s="36">
        <f>D12/H12/I12</f>
        <v>0</v>
      </c>
      <c r="K12" s="81">
        <f t="shared" si="3"/>
        <v>0</v>
      </c>
      <c r="L12" s="36">
        <f t="shared" si="4"/>
        <v>600</v>
      </c>
      <c r="M12" s="36">
        <f t="shared" si="5"/>
        <v>600</v>
      </c>
      <c r="N12" s="36">
        <v>550</v>
      </c>
      <c r="O12" s="36">
        <v>21</v>
      </c>
      <c r="P12" s="37">
        <f t="shared" si="6"/>
        <v>11550</v>
      </c>
      <c r="Q12" s="81">
        <f t="shared" si="7"/>
        <v>12150</v>
      </c>
      <c r="R12" s="37"/>
      <c r="S12" s="37"/>
      <c r="T12" s="37">
        <f t="shared" si="0"/>
        <v>0</v>
      </c>
      <c r="U12" s="37">
        <f t="shared" si="1"/>
        <v>0</v>
      </c>
      <c r="V12" s="37">
        <f t="shared" si="2"/>
        <v>0</v>
      </c>
      <c r="W12" s="37"/>
    </row>
    <row r="13" spans="1:23" s="26" customFormat="1" ht="15" customHeight="1">
      <c r="A13" s="36">
        <v>8</v>
      </c>
      <c r="B13" s="51"/>
      <c r="C13" s="3" t="s">
        <v>98</v>
      </c>
      <c r="D13" s="67"/>
      <c r="E13" s="67"/>
      <c r="F13" s="67"/>
      <c r="H13" s="36">
        <v>1</v>
      </c>
      <c r="I13" s="36">
        <v>200</v>
      </c>
      <c r="J13" s="36">
        <f>D13/H13/I13</f>
        <v>0</v>
      </c>
      <c r="K13" s="81">
        <f t="shared" si="3"/>
        <v>0</v>
      </c>
      <c r="L13" s="36">
        <f t="shared" si="4"/>
        <v>600</v>
      </c>
      <c r="M13" s="36">
        <f t="shared" si="5"/>
        <v>600</v>
      </c>
      <c r="N13" s="36">
        <v>550</v>
      </c>
      <c r="O13" s="36">
        <v>21</v>
      </c>
      <c r="P13" s="37">
        <f t="shared" si="6"/>
        <v>11550</v>
      </c>
      <c r="Q13" s="81">
        <f t="shared" si="7"/>
        <v>12150</v>
      </c>
      <c r="R13" s="37"/>
      <c r="S13" s="37"/>
      <c r="T13" s="37">
        <f t="shared" si="0"/>
        <v>0</v>
      </c>
      <c r="U13" s="37">
        <f t="shared" si="1"/>
        <v>0</v>
      </c>
      <c r="V13" s="37">
        <f t="shared" si="2"/>
        <v>0</v>
      </c>
      <c r="W13" s="37"/>
    </row>
    <row r="14" spans="1:23" s="26" customFormat="1" ht="15" customHeight="1">
      <c r="A14" s="36">
        <v>9</v>
      </c>
      <c r="B14" s="51"/>
      <c r="C14" s="2" t="s">
        <v>99</v>
      </c>
      <c r="D14" s="67"/>
      <c r="E14" s="67"/>
      <c r="F14" s="67"/>
      <c r="H14" s="36"/>
      <c r="I14" s="36">
        <v>200</v>
      </c>
      <c r="J14" s="36"/>
      <c r="K14" s="81">
        <f t="shared" si="3"/>
        <v>0</v>
      </c>
      <c r="L14" s="36">
        <f t="shared" si="4"/>
        <v>600</v>
      </c>
      <c r="M14" s="36">
        <f t="shared" si="5"/>
        <v>0</v>
      </c>
      <c r="N14" s="36">
        <v>550</v>
      </c>
      <c r="O14" s="36">
        <v>21</v>
      </c>
      <c r="P14" s="37">
        <f t="shared" si="6"/>
        <v>0</v>
      </c>
      <c r="Q14" s="81">
        <f t="shared" si="7"/>
        <v>0</v>
      </c>
      <c r="R14" s="37"/>
      <c r="S14" s="37"/>
      <c r="T14" s="37">
        <f t="shared" si="0"/>
        <v>0</v>
      </c>
      <c r="U14" s="37">
        <f t="shared" si="1"/>
        <v>0</v>
      </c>
      <c r="V14" s="37">
        <f t="shared" si="2"/>
        <v>0</v>
      </c>
      <c r="W14" s="37"/>
    </row>
    <row r="15" spans="1:23" s="26" customFormat="1" ht="15">
      <c r="A15" s="36">
        <v>10</v>
      </c>
      <c r="B15" s="51"/>
      <c r="C15" s="2" t="s">
        <v>100</v>
      </c>
      <c r="D15" s="67"/>
      <c r="E15" s="67"/>
      <c r="F15" s="67"/>
      <c r="H15" s="36">
        <v>1</v>
      </c>
      <c r="I15" s="36">
        <v>200</v>
      </c>
      <c r="J15" s="36">
        <f>D15/H15/I15</f>
        <v>0</v>
      </c>
      <c r="K15" s="81">
        <f t="shared" si="3"/>
        <v>0</v>
      </c>
      <c r="L15" s="36">
        <f t="shared" si="4"/>
        <v>600</v>
      </c>
      <c r="M15" s="36">
        <f t="shared" si="5"/>
        <v>600</v>
      </c>
      <c r="N15" s="36">
        <v>550</v>
      </c>
      <c r="O15" s="36">
        <v>21</v>
      </c>
      <c r="P15" s="37">
        <f t="shared" si="6"/>
        <v>11550</v>
      </c>
      <c r="Q15" s="81">
        <f t="shared" si="7"/>
        <v>12150</v>
      </c>
      <c r="R15" s="37"/>
      <c r="S15" s="37"/>
      <c r="T15" s="37">
        <f t="shared" si="0"/>
        <v>0</v>
      </c>
      <c r="U15" s="37">
        <f t="shared" si="1"/>
        <v>0</v>
      </c>
      <c r="V15" s="37">
        <f t="shared" si="2"/>
        <v>0</v>
      </c>
      <c r="W15" s="37"/>
    </row>
    <row r="16" spans="1:23" s="26" customFormat="1" ht="15" customHeight="1">
      <c r="A16" s="36">
        <v>11</v>
      </c>
      <c r="B16" s="51"/>
      <c r="C16" s="2" t="s">
        <v>101</v>
      </c>
      <c r="D16" s="67"/>
      <c r="E16" s="67"/>
      <c r="F16" s="67"/>
      <c r="H16" s="36">
        <v>2</v>
      </c>
      <c r="I16" s="36">
        <v>200</v>
      </c>
      <c r="J16" s="36">
        <f>D16/H16/I16</f>
        <v>0</v>
      </c>
      <c r="K16" s="81">
        <f t="shared" si="3"/>
        <v>0</v>
      </c>
      <c r="L16" s="36">
        <f t="shared" si="4"/>
        <v>600</v>
      </c>
      <c r="M16" s="36">
        <f t="shared" si="5"/>
        <v>1200</v>
      </c>
      <c r="N16" s="36">
        <v>550</v>
      </c>
      <c r="O16" s="36">
        <v>21</v>
      </c>
      <c r="P16" s="37">
        <f t="shared" si="6"/>
        <v>23100</v>
      </c>
      <c r="Q16" s="81">
        <f t="shared" si="7"/>
        <v>24300</v>
      </c>
      <c r="R16" s="37"/>
      <c r="S16" s="37"/>
      <c r="T16" s="37">
        <f t="shared" si="0"/>
        <v>0</v>
      </c>
      <c r="U16" s="37">
        <f t="shared" si="1"/>
        <v>0</v>
      </c>
      <c r="V16" s="37">
        <f t="shared" si="2"/>
        <v>0</v>
      </c>
      <c r="W16" s="37"/>
    </row>
    <row r="17" spans="1:23" s="26" customFormat="1" ht="15" customHeight="1">
      <c r="A17" s="36">
        <v>12</v>
      </c>
      <c r="B17" s="51"/>
      <c r="C17" s="2" t="s">
        <v>102</v>
      </c>
      <c r="D17" s="67"/>
      <c r="E17" s="67"/>
      <c r="F17" s="67"/>
      <c r="H17" s="36">
        <v>2</v>
      </c>
      <c r="I17" s="36">
        <v>200</v>
      </c>
      <c r="J17" s="36">
        <f>D17/H17/I17</f>
        <v>0</v>
      </c>
      <c r="K17" s="81">
        <f t="shared" si="3"/>
        <v>0</v>
      </c>
      <c r="L17" s="36">
        <f t="shared" si="4"/>
        <v>600</v>
      </c>
      <c r="M17" s="36">
        <f t="shared" si="5"/>
        <v>1200</v>
      </c>
      <c r="N17" s="36">
        <v>550</v>
      </c>
      <c r="O17" s="36">
        <v>21</v>
      </c>
      <c r="P17" s="37">
        <f t="shared" si="6"/>
        <v>23100</v>
      </c>
      <c r="Q17" s="81">
        <f t="shared" si="7"/>
        <v>24300</v>
      </c>
      <c r="R17" s="37"/>
      <c r="S17" s="37"/>
      <c r="T17" s="37">
        <f t="shared" si="0"/>
        <v>0</v>
      </c>
      <c r="U17" s="37">
        <f t="shared" si="1"/>
        <v>0</v>
      </c>
      <c r="V17" s="37">
        <f t="shared" si="2"/>
        <v>0</v>
      </c>
      <c r="W17" s="37"/>
    </row>
    <row r="18" spans="1:23" s="26" customFormat="1" ht="15">
      <c r="A18" s="36">
        <v>13</v>
      </c>
      <c r="B18" s="51"/>
      <c r="C18" s="2" t="s">
        <v>103</v>
      </c>
      <c r="D18" s="67"/>
      <c r="E18" s="67"/>
      <c r="F18" s="67"/>
      <c r="H18" s="36">
        <v>3</v>
      </c>
      <c r="I18" s="36">
        <v>200</v>
      </c>
      <c r="J18" s="36">
        <f>D18/H18/I18</f>
        <v>0</v>
      </c>
      <c r="K18" s="81">
        <f t="shared" si="3"/>
        <v>0</v>
      </c>
      <c r="L18" s="36">
        <f t="shared" si="4"/>
        <v>600</v>
      </c>
      <c r="M18" s="36">
        <f t="shared" si="5"/>
        <v>1800</v>
      </c>
      <c r="N18" s="36">
        <v>550</v>
      </c>
      <c r="O18" s="36">
        <v>21</v>
      </c>
      <c r="P18" s="37">
        <f t="shared" si="6"/>
        <v>34650</v>
      </c>
      <c r="Q18" s="81">
        <f t="shared" si="7"/>
        <v>36450</v>
      </c>
      <c r="R18" s="37"/>
      <c r="S18" s="37"/>
      <c r="T18" s="37">
        <f t="shared" si="0"/>
        <v>0</v>
      </c>
      <c r="U18" s="37">
        <f t="shared" si="1"/>
        <v>0</v>
      </c>
      <c r="V18" s="37">
        <f t="shared" si="2"/>
        <v>0</v>
      </c>
      <c r="W18" s="37"/>
    </row>
    <row r="19" spans="1:23" s="56" customFormat="1" ht="15">
      <c r="A19" s="55">
        <v>14</v>
      </c>
      <c r="B19" s="51"/>
      <c r="C19" s="18" t="s">
        <v>104</v>
      </c>
      <c r="D19" s="68"/>
      <c r="E19" s="68"/>
      <c r="F19" s="68"/>
      <c r="H19" s="63">
        <v>4</v>
      </c>
      <c r="I19" s="36">
        <v>200</v>
      </c>
      <c r="J19" s="36">
        <v>20</v>
      </c>
      <c r="K19" s="81">
        <f t="shared" si="3"/>
        <v>16000</v>
      </c>
      <c r="L19" s="36">
        <f t="shared" si="4"/>
        <v>600</v>
      </c>
      <c r="M19" s="36">
        <f t="shared" si="5"/>
        <v>2400</v>
      </c>
      <c r="N19" s="36">
        <v>550</v>
      </c>
      <c r="O19" s="36">
        <v>21</v>
      </c>
      <c r="P19" s="37">
        <f t="shared" si="6"/>
        <v>46200</v>
      </c>
      <c r="Q19" s="81">
        <f t="shared" si="7"/>
        <v>48600</v>
      </c>
      <c r="R19" s="37"/>
      <c r="S19" s="37"/>
      <c r="T19" s="37">
        <f t="shared" si="0"/>
        <v>0</v>
      </c>
      <c r="U19" s="37">
        <f t="shared" si="1"/>
        <v>0</v>
      </c>
      <c r="V19" s="37">
        <f t="shared" si="2"/>
        <v>0</v>
      </c>
      <c r="W19" s="37"/>
    </row>
    <row r="20" spans="1:23" s="56" customFormat="1" ht="15" customHeight="1">
      <c r="A20" s="55">
        <v>15</v>
      </c>
      <c r="B20" s="51"/>
      <c r="C20" s="18" t="s">
        <v>105</v>
      </c>
      <c r="D20" s="68"/>
      <c r="E20" s="68"/>
      <c r="F20" s="68"/>
      <c r="H20" s="63">
        <v>6</v>
      </c>
      <c r="I20" s="36">
        <v>200</v>
      </c>
      <c r="J20" s="36">
        <f>D20/H20/I20</f>
        <v>0</v>
      </c>
      <c r="K20" s="81">
        <f t="shared" si="3"/>
        <v>0</v>
      </c>
      <c r="L20" s="36">
        <f t="shared" si="4"/>
        <v>600</v>
      </c>
      <c r="M20" s="36">
        <f t="shared" si="5"/>
        <v>3600</v>
      </c>
      <c r="N20" s="36">
        <v>550</v>
      </c>
      <c r="O20" s="36">
        <v>21</v>
      </c>
      <c r="P20" s="37">
        <f t="shared" si="6"/>
        <v>69300</v>
      </c>
      <c r="Q20" s="81">
        <f t="shared" si="7"/>
        <v>72900</v>
      </c>
      <c r="R20" s="37"/>
      <c r="S20" s="37"/>
      <c r="T20" s="37">
        <f t="shared" si="0"/>
        <v>0</v>
      </c>
      <c r="U20" s="37">
        <f t="shared" si="1"/>
        <v>0</v>
      </c>
      <c r="V20" s="37">
        <f t="shared" si="2"/>
        <v>0</v>
      </c>
      <c r="W20" s="37"/>
    </row>
    <row r="21" spans="1:23" s="56" customFormat="1" ht="15">
      <c r="A21" s="55">
        <v>16</v>
      </c>
      <c r="B21" s="51"/>
      <c r="C21" s="18" t="s">
        <v>106</v>
      </c>
      <c r="D21" s="68"/>
      <c r="E21" s="68"/>
      <c r="F21" s="68"/>
      <c r="H21" s="63">
        <v>3</v>
      </c>
      <c r="I21" s="36">
        <v>200</v>
      </c>
      <c r="J21" s="36">
        <f>D21/H21/I21</f>
        <v>0</v>
      </c>
      <c r="K21" s="81">
        <f t="shared" si="3"/>
        <v>0</v>
      </c>
      <c r="L21" s="36">
        <f t="shared" si="4"/>
        <v>600</v>
      </c>
      <c r="M21" s="36">
        <f t="shared" si="5"/>
        <v>1800</v>
      </c>
      <c r="N21" s="36">
        <v>550</v>
      </c>
      <c r="O21" s="36">
        <v>21</v>
      </c>
      <c r="P21" s="37">
        <f t="shared" si="6"/>
        <v>34650</v>
      </c>
      <c r="Q21" s="81">
        <f t="shared" si="7"/>
        <v>36450</v>
      </c>
      <c r="R21" s="37"/>
      <c r="S21" s="37"/>
      <c r="T21" s="37">
        <f t="shared" si="0"/>
        <v>0</v>
      </c>
      <c r="U21" s="37">
        <f t="shared" si="1"/>
        <v>0</v>
      </c>
      <c r="V21" s="37">
        <f t="shared" si="2"/>
        <v>0</v>
      </c>
      <c r="W21" s="37"/>
    </row>
    <row r="22" spans="1:23" s="56" customFormat="1" ht="15" customHeight="1">
      <c r="A22" s="56">
        <v>17</v>
      </c>
      <c r="B22" s="51"/>
      <c r="C22" s="18" t="s">
        <v>107</v>
      </c>
      <c r="D22" s="68"/>
      <c r="E22" s="68"/>
      <c r="F22" s="68"/>
      <c r="H22" s="63">
        <v>6</v>
      </c>
      <c r="I22" s="36">
        <v>200</v>
      </c>
      <c r="J22" s="36">
        <f>D22/H22/I22</f>
        <v>0</v>
      </c>
      <c r="K22" s="81">
        <f t="shared" si="3"/>
        <v>0</v>
      </c>
      <c r="L22" s="36">
        <f t="shared" si="4"/>
        <v>600</v>
      </c>
      <c r="M22" s="36">
        <f t="shared" si="5"/>
        <v>3600</v>
      </c>
      <c r="N22" s="36">
        <v>550</v>
      </c>
      <c r="O22" s="36">
        <v>21</v>
      </c>
      <c r="P22" s="37">
        <f t="shared" si="6"/>
        <v>69300</v>
      </c>
      <c r="Q22" s="81">
        <f t="shared" si="7"/>
        <v>72900</v>
      </c>
      <c r="R22" s="37"/>
      <c r="S22" s="37"/>
      <c r="T22" s="37">
        <f t="shared" si="0"/>
        <v>0</v>
      </c>
      <c r="U22" s="37">
        <f t="shared" si="1"/>
        <v>0</v>
      </c>
      <c r="V22" s="37">
        <f t="shared" si="2"/>
        <v>0</v>
      </c>
      <c r="W22" s="37"/>
    </row>
    <row r="23" spans="1:23" s="57" customFormat="1" ht="15" customHeight="1">
      <c r="A23" s="178" t="s">
        <v>6</v>
      </c>
      <c r="B23" s="178"/>
      <c r="C23" s="178"/>
      <c r="D23" s="71">
        <f>SUM(D6:D22)</f>
        <v>0</v>
      </c>
      <c r="E23" s="71">
        <f>SUM(E6:E22)</f>
        <v>0</v>
      </c>
      <c r="F23" s="71">
        <f aca="true" t="shared" si="8" ref="F23:W23">SUM(F6:F22)</f>
        <v>0</v>
      </c>
      <c r="G23" s="139">
        <f t="shared" si="8"/>
        <v>0</v>
      </c>
      <c r="H23" s="139">
        <f t="shared" si="8"/>
        <v>45</v>
      </c>
      <c r="I23" s="139">
        <f t="shared" si="8"/>
        <v>3000</v>
      </c>
      <c r="J23" s="139">
        <f t="shared" si="8"/>
        <v>60</v>
      </c>
      <c r="K23" s="139">
        <f t="shared" si="8"/>
        <v>48000</v>
      </c>
      <c r="L23" s="139">
        <f t="shared" si="8"/>
        <v>9000</v>
      </c>
      <c r="M23" s="139">
        <f t="shared" si="8"/>
        <v>27000</v>
      </c>
      <c r="N23" s="139">
        <f t="shared" si="8"/>
        <v>8250</v>
      </c>
      <c r="O23" s="139">
        <f t="shared" si="8"/>
        <v>315</v>
      </c>
      <c r="P23" s="139">
        <f t="shared" si="8"/>
        <v>519750</v>
      </c>
      <c r="Q23" s="139">
        <f t="shared" si="8"/>
        <v>546750</v>
      </c>
      <c r="R23" s="139">
        <f t="shared" si="8"/>
        <v>0</v>
      </c>
      <c r="S23" s="139">
        <f t="shared" si="8"/>
        <v>0</v>
      </c>
      <c r="T23" s="22">
        <f t="shared" si="8"/>
        <v>0</v>
      </c>
      <c r="U23" s="22">
        <f t="shared" si="8"/>
        <v>0</v>
      </c>
      <c r="V23" s="22">
        <f t="shared" si="8"/>
        <v>0</v>
      </c>
      <c r="W23" s="22">
        <f t="shared" si="8"/>
        <v>0</v>
      </c>
    </row>
    <row r="24" spans="1:23" s="59" customFormat="1" ht="15" customHeight="1">
      <c r="A24" s="58">
        <v>1</v>
      </c>
      <c r="B24" s="58"/>
      <c r="C24" s="17" t="s">
        <v>48</v>
      </c>
      <c r="D24" s="73"/>
      <c r="E24" s="73"/>
      <c r="F24" s="73"/>
      <c r="H24" s="63"/>
      <c r="I24" s="36">
        <v>200</v>
      </c>
      <c r="J24" s="36"/>
      <c r="K24" s="81">
        <f t="shared" si="3"/>
        <v>0</v>
      </c>
      <c r="L24" s="36">
        <f t="shared" si="4"/>
        <v>600</v>
      </c>
      <c r="M24" s="36">
        <f t="shared" si="5"/>
        <v>0</v>
      </c>
      <c r="N24" s="36">
        <v>550</v>
      </c>
      <c r="O24" s="36">
        <v>21</v>
      </c>
      <c r="P24" s="37">
        <f t="shared" si="6"/>
        <v>0</v>
      </c>
      <c r="Q24" s="81">
        <f t="shared" si="7"/>
        <v>0</v>
      </c>
      <c r="R24" s="37"/>
      <c r="S24" s="37"/>
      <c r="T24" s="37">
        <f aca="true" t="shared" si="9" ref="T24:T31">(D24+E24+F24)/2</f>
        <v>0</v>
      </c>
      <c r="U24" s="37">
        <f t="shared" si="1"/>
        <v>0</v>
      </c>
      <c r="V24" s="37">
        <f t="shared" si="2"/>
        <v>0</v>
      </c>
      <c r="W24" s="37"/>
    </row>
    <row r="25" spans="1:23" s="59" customFormat="1" ht="15" customHeight="1">
      <c r="A25" s="58">
        <v>2</v>
      </c>
      <c r="B25" s="58"/>
      <c r="C25" s="17" t="s">
        <v>50</v>
      </c>
      <c r="D25" s="73"/>
      <c r="E25" s="73"/>
      <c r="F25" s="73"/>
      <c r="H25" s="63">
        <v>1</v>
      </c>
      <c r="I25" s="36">
        <v>200</v>
      </c>
      <c r="J25" s="36">
        <f>D25/H25/I25</f>
        <v>0</v>
      </c>
      <c r="K25" s="81">
        <f t="shared" si="3"/>
        <v>0</v>
      </c>
      <c r="L25" s="36">
        <f t="shared" si="4"/>
        <v>600</v>
      </c>
      <c r="M25" s="36">
        <f t="shared" si="5"/>
        <v>600</v>
      </c>
      <c r="N25" s="36">
        <v>550</v>
      </c>
      <c r="O25" s="36">
        <v>21</v>
      </c>
      <c r="P25" s="37">
        <f t="shared" si="6"/>
        <v>11550</v>
      </c>
      <c r="Q25" s="81">
        <f t="shared" si="7"/>
        <v>12150</v>
      </c>
      <c r="R25" s="37"/>
      <c r="S25" s="37"/>
      <c r="T25" s="37">
        <f t="shared" si="9"/>
        <v>0</v>
      </c>
      <c r="U25" s="37">
        <f t="shared" si="1"/>
        <v>0</v>
      </c>
      <c r="V25" s="37">
        <f t="shared" si="2"/>
        <v>0</v>
      </c>
      <c r="W25" s="37"/>
    </row>
    <row r="26" spans="1:23" s="59" customFormat="1" ht="15" customHeight="1">
      <c r="A26" s="58">
        <v>3</v>
      </c>
      <c r="B26" s="58"/>
      <c r="C26" s="17" t="s">
        <v>51</v>
      </c>
      <c r="D26" s="73"/>
      <c r="E26" s="73"/>
      <c r="F26" s="73"/>
      <c r="H26" s="63">
        <v>3</v>
      </c>
      <c r="I26" s="36">
        <v>200</v>
      </c>
      <c r="J26" s="36">
        <f>D26/H26/I26</f>
        <v>0</v>
      </c>
      <c r="K26" s="81">
        <f t="shared" si="3"/>
        <v>0</v>
      </c>
      <c r="L26" s="36">
        <f t="shared" si="4"/>
        <v>600</v>
      </c>
      <c r="M26" s="36">
        <f t="shared" si="5"/>
        <v>1800</v>
      </c>
      <c r="N26" s="36">
        <v>550</v>
      </c>
      <c r="O26" s="36">
        <v>21</v>
      </c>
      <c r="P26" s="37">
        <f t="shared" si="6"/>
        <v>34650</v>
      </c>
      <c r="Q26" s="81">
        <f t="shared" si="7"/>
        <v>36450</v>
      </c>
      <c r="R26" s="37"/>
      <c r="S26" s="37"/>
      <c r="T26" s="37">
        <f t="shared" si="9"/>
        <v>0</v>
      </c>
      <c r="U26" s="37">
        <f t="shared" si="1"/>
        <v>0</v>
      </c>
      <c r="V26" s="37">
        <f t="shared" si="2"/>
        <v>0</v>
      </c>
      <c r="W26" s="37"/>
    </row>
    <row r="27" spans="1:23" s="59" customFormat="1" ht="15" customHeight="1">
      <c r="A27" s="58">
        <v>4</v>
      </c>
      <c r="B27" s="58"/>
      <c r="C27" s="17" t="s">
        <v>52</v>
      </c>
      <c r="D27" s="73"/>
      <c r="E27" s="73"/>
      <c r="F27" s="73"/>
      <c r="H27" s="63"/>
      <c r="I27" s="36">
        <v>200</v>
      </c>
      <c r="J27" s="36"/>
      <c r="K27" s="81">
        <f t="shared" si="3"/>
        <v>0</v>
      </c>
      <c r="L27" s="36">
        <f t="shared" si="4"/>
        <v>600</v>
      </c>
      <c r="M27" s="36">
        <f t="shared" si="5"/>
        <v>0</v>
      </c>
      <c r="N27" s="36">
        <v>550</v>
      </c>
      <c r="O27" s="36">
        <v>21</v>
      </c>
      <c r="P27" s="37">
        <f t="shared" si="6"/>
        <v>0</v>
      </c>
      <c r="Q27" s="81">
        <f t="shared" si="7"/>
        <v>0</v>
      </c>
      <c r="R27" s="37"/>
      <c r="S27" s="37"/>
      <c r="T27" s="37">
        <f t="shared" si="9"/>
        <v>0</v>
      </c>
      <c r="U27" s="37">
        <f t="shared" si="1"/>
        <v>0</v>
      </c>
      <c r="V27" s="37">
        <f t="shared" si="2"/>
        <v>0</v>
      </c>
      <c r="W27" s="37"/>
    </row>
    <row r="28" spans="1:23" s="59" customFormat="1" ht="15" customHeight="1">
      <c r="A28" s="58">
        <v>5</v>
      </c>
      <c r="B28" s="58"/>
      <c r="C28" s="17" t="s">
        <v>53</v>
      </c>
      <c r="D28" s="73"/>
      <c r="E28" s="73"/>
      <c r="F28" s="73"/>
      <c r="H28" s="63">
        <v>2</v>
      </c>
      <c r="I28" s="36">
        <v>200</v>
      </c>
      <c r="J28" s="36">
        <f>D28/H28/I28</f>
        <v>0</v>
      </c>
      <c r="K28" s="81">
        <f t="shared" si="3"/>
        <v>0</v>
      </c>
      <c r="L28" s="36">
        <f t="shared" si="4"/>
        <v>600</v>
      </c>
      <c r="M28" s="36">
        <f t="shared" si="5"/>
        <v>1200</v>
      </c>
      <c r="N28" s="36">
        <v>550</v>
      </c>
      <c r="O28" s="36">
        <v>21</v>
      </c>
      <c r="P28" s="37">
        <f t="shared" si="6"/>
        <v>23100</v>
      </c>
      <c r="Q28" s="81">
        <f t="shared" si="7"/>
        <v>24300</v>
      </c>
      <c r="R28" s="37"/>
      <c r="S28" s="37"/>
      <c r="T28" s="37">
        <f t="shared" si="9"/>
        <v>0</v>
      </c>
      <c r="U28" s="37">
        <f t="shared" si="1"/>
        <v>0</v>
      </c>
      <c r="V28" s="37">
        <f t="shared" si="2"/>
        <v>0</v>
      </c>
      <c r="W28" s="37"/>
    </row>
    <row r="29" spans="1:23" s="59" customFormat="1" ht="15" customHeight="1">
      <c r="A29" s="58">
        <v>6</v>
      </c>
      <c r="B29" s="58"/>
      <c r="C29" s="17" t="s">
        <v>54</v>
      </c>
      <c r="D29" s="73"/>
      <c r="E29" s="73"/>
      <c r="F29" s="73"/>
      <c r="H29" s="63">
        <v>2</v>
      </c>
      <c r="I29" s="36">
        <v>200</v>
      </c>
      <c r="J29" s="36">
        <f>D29/H29/I29</f>
        <v>0</v>
      </c>
      <c r="K29" s="81">
        <f t="shared" si="3"/>
        <v>0</v>
      </c>
      <c r="L29" s="36">
        <f t="shared" si="4"/>
        <v>600</v>
      </c>
      <c r="M29" s="36">
        <f t="shared" si="5"/>
        <v>1200</v>
      </c>
      <c r="N29" s="36">
        <v>550</v>
      </c>
      <c r="O29" s="36">
        <v>21</v>
      </c>
      <c r="P29" s="37">
        <f t="shared" si="6"/>
        <v>23100</v>
      </c>
      <c r="Q29" s="81">
        <f t="shared" si="7"/>
        <v>24300</v>
      </c>
      <c r="R29" s="37"/>
      <c r="S29" s="37"/>
      <c r="T29" s="37">
        <f t="shared" si="9"/>
        <v>0</v>
      </c>
      <c r="U29" s="37">
        <f t="shared" si="1"/>
        <v>0</v>
      </c>
      <c r="V29" s="37">
        <f t="shared" si="2"/>
        <v>0</v>
      </c>
      <c r="W29" s="37"/>
    </row>
    <row r="30" spans="1:23" s="59" customFormat="1" ht="15" customHeight="1">
      <c r="A30" s="58">
        <v>7</v>
      </c>
      <c r="B30" s="58"/>
      <c r="C30" s="31" t="s">
        <v>55</v>
      </c>
      <c r="D30" s="73"/>
      <c r="E30" s="73"/>
      <c r="F30" s="73"/>
      <c r="H30" s="63">
        <v>1</v>
      </c>
      <c r="I30" s="36">
        <v>200</v>
      </c>
      <c r="J30" s="36">
        <f>D30/H30/I30</f>
        <v>0</v>
      </c>
      <c r="K30" s="81">
        <f t="shared" si="3"/>
        <v>0</v>
      </c>
      <c r="L30" s="36">
        <f t="shared" si="4"/>
        <v>600</v>
      </c>
      <c r="M30" s="36">
        <f t="shared" si="5"/>
        <v>600</v>
      </c>
      <c r="N30" s="36">
        <v>550</v>
      </c>
      <c r="O30" s="36">
        <v>21</v>
      </c>
      <c r="P30" s="37">
        <f t="shared" si="6"/>
        <v>11550</v>
      </c>
      <c r="Q30" s="81">
        <f t="shared" si="7"/>
        <v>12150</v>
      </c>
      <c r="R30" s="37"/>
      <c r="S30" s="37"/>
      <c r="T30" s="37">
        <f t="shared" si="9"/>
        <v>0</v>
      </c>
      <c r="U30" s="37">
        <f t="shared" si="1"/>
        <v>0</v>
      </c>
      <c r="V30" s="37">
        <f t="shared" si="2"/>
        <v>0</v>
      </c>
      <c r="W30" s="37"/>
    </row>
    <row r="31" spans="1:23" s="56" customFormat="1" ht="15" customHeight="1">
      <c r="A31" s="60">
        <v>8</v>
      </c>
      <c r="B31" s="60"/>
      <c r="C31" s="18" t="s">
        <v>49</v>
      </c>
      <c r="D31" s="68"/>
      <c r="E31" s="68"/>
      <c r="F31" s="68"/>
      <c r="H31" s="63">
        <v>2</v>
      </c>
      <c r="I31" s="36">
        <v>200</v>
      </c>
      <c r="J31" s="36">
        <f>D31/H31/I31</f>
        <v>0</v>
      </c>
      <c r="K31" s="81">
        <f t="shared" si="3"/>
        <v>0</v>
      </c>
      <c r="L31" s="36">
        <f t="shared" si="4"/>
        <v>600</v>
      </c>
      <c r="M31" s="36">
        <f t="shared" si="5"/>
        <v>1200</v>
      </c>
      <c r="N31" s="36">
        <v>550</v>
      </c>
      <c r="O31" s="36">
        <v>21</v>
      </c>
      <c r="P31" s="37">
        <f t="shared" si="6"/>
        <v>23100</v>
      </c>
      <c r="Q31" s="81">
        <f t="shared" si="7"/>
        <v>24300</v>
      </c>
      <c r="R31" s="37"/>
      <c r="S31" s="37"/>
      <c r="T31" s="37">
        <f t="shared" si="9"/>
        <v>0</v>
      </c>
      <c r="U31" s="37">
        <f t="shared" si="1"/>
        <v>0</v>
      </c>
      <c r="V31" s="37">
        <f t="shared" si="2"/>
        <v>0</v>
      </c>
      <c r="W31" s="37"/>
    </row>
    <row r="32" spans="1:23" s="57" customFormat="1" ht="15" customHeight="1">
      <c r="A32" s="168" t="s">
        <v>61</v>
      </c>
      <c r="B32" s="169"/>
      <c r="C32" s="170"/>
      <c r="D32" s="71">
        <f>SUM(D24:D31)</f>
        <v>0</v>
      </c>
      <c r="E32" s="71">
        <f>SUM(E24:E31)</f>
        <v>0</v>
      </c>
      <c r="F32" s="71">
        <f>SUM(F24:F31)</f>
        <v>0</v>
      </c>
      <c r="G32" s="139">
        <f>SUM(G24:G31)</f>
        <v>0</v>
      </c>
      <c r="H32" s="139">
        <f aca="true" t="shared" si="10" ref="H32:Q32">SUM(H24:H31)</f>
        <v>11</v>
      </c>
      <c r="I32" s="139">
        <f t="shared" si="10"/>
        <v>1600</v>
      </c>
      <c r="J32" s="139">
        <f t="shared" si="10"/>
        <v>0</v>
      </c>
      <c r="K32" s="139">
        <f t="shared" si="10"/>
        <v>0</v>
      </c>
      <c r="L32" s="139">
        <f t="shared" si="10"/>
        <v>4800</v>
      </c>
      <c r="M32" s="139">
        <f t="shared" si="10"/>
        <v>6600</v>
      </c>
      <c r="N32" s="139">
        <f t="shared" si="10"/>
        <v>4400</v>
      </c>
      <c r="O32" s="139">
        <f t="shared" si="10"/>
        <v>168</v>
      </c>
      <c r="P32" s="139">
        <f t="shared" si="10"/>
        <v>127050</v>
      </c>
      <c r="Q32" s="139">
        <f t="shared" si="10"/>
        <v>133650</v>
      </c>
      <c r="R32" s="139">
        <f aca="true" t="shared" si="11" ref="R32:W32">SUM(R24:R31)</f>
        <v>0</v>
      </c>
      <c r="S32" s="139">
        <f t="shared" si="11"/>
        <v>0</v>
      </c>
      <c r="T32" s="151">
        <f t="shared" si="11"/>
        <v>0</v>
      </c>
      <c r="U32" s="151">
        <f t="shared" si="11"/>
        <v>0</v>
      </c>
      <c r="V32" s="151">
        <f t="shared" si="11"/>
        <v>0</v>
      </c>
      <c r="W32" s="151">
        <f t="shared" si="11"/>
        <v>0</v>
      </c>
    </row>
    <row r="33" spans="1:23" s="61" customFormat="1" ht="15" customHeight="1">
      <c r="A33" s="182" t="s">
        <v>62</v>
      </c>
      <c r="B33" s="183"/>
      <c r="C33" s="184"/>
      <c r="D33" s="74">
        <f>D23+D32</f>
        <v>0</v>
      </c>
      <c r="E33" s="74">
        <f>E23+E32</f>
        <v>0</v>
      </c>
      <c r="F33" s="74">
        <f>F23+F32</f>
        <v>0</v>
      </c>
      <c r="G33" s="91">
        <v>55550600</v>
      </c>
      <c r="H33" s="91">
        <f aca="true" t="shared" si="12" ref="H33:Q33">H23+H32</f>
        <v>56</v>
      </c>
      <c r="I33" s="91">
        <f t="shared" si="12"/>
        <v>4600</v>
      </c>
      <c r="J33" s="91">
        <f t="shared" si="12"/>
        <v>60</v>
      </c>
      <c r="K33" s="91">
        <f t="shared" si="12"/>
        <v>48000</v>
      </c>
      <c r="L33" s="91">
        <f t="shared" si="12"/>
        <v>13800</v>
      </c>
      <c r="M33" s="91">
        <f t="shared" si="12"/>
        <v>33600</v>
      </c>
      <c r="N33" s="91">
        <f t="shared" si="12"/>
        <v>12650</v>
      </c>
      <c r="O33" s="91">
        <f t="shared" si="12"/>
        <v>483</v>
      </c>
      <c r="P33" s="91">
        <f t="shared" si="12"/>
        <v>646800</v>
      </c>
      <c r="Q33" s="91">
        <f t="shared" si="12"/>
        <v>680400</v>
      </c>
      <c r="R33" s="91">
        <f aca="true" t="shared" si="13" ref="R33:W33">R23+R32</f>
        <v>0</v>
      </c>
      <c r="S33" s="91">
        <f t="shared" si="13"/>
        <v>0</v>
      </c>
      <c r="T33" s="91">
        <f t="shared" si="13"/>
        <v>0</v>
      </c>
      <c r="U33" s="91">
        <f t="shared" si="13"/>
        <v>0</v>
      </c>
      <c r="V33" s="91">
        <f t="shared" si="13"/>
        <v>0</v>
      </c>
      <c r="W33" s="91">
        <f t="shared" si="13"/>
        <v>0</v>
      </c>
    </row>
    <row r="34" spans="1:23" s="26" customFormat="1" ht="15.75" customHeight="1">
      <c r="A34" s="36">
        <v>1</v>
      </c>
      <c r="B34" s="51" t="s">
        <v>3</v>
      </c>
      <c r="C34" s="2" t="s">
        <v>9</v>
      </c>
      <c r="D34" s="67">
        <v>20000</v>
      </c>
      <c r="E34" s="67">
        <v>60750</v>
      </c>
      <c r="F34" s="67">
        <v>27500</v>
      </c>
      <c r="H34" s="36">
        <v>5</v>
      </c>
      <c r="I34" s="36">
        <v>200</v>
      </c>
      <c r="J34" s="36">
        <f>D34/H34/I34</f>
        <v>20</v>
      </c>
      <c r="K34" s="81">
        <f t="shared" si="3"/>
        <v>20000</v>
      </c>
      <c r="L34" s="36">
        <f t="shared" si="4"/>
        <v>600</v>
      </c>
      <c r="M34" s="36">
        <f t="shared" si="5"/>
        <v>3000</v>
      </c>
      <c r="N34" s="36">
        <v>550</v>
      </c>
      <c r="O34" s="36">
        <v>21</v>
      </c>
      <c r="P34" s="37">
        <f t="shared" si="6"/>
        <v>57750</v>
      </c>
      <c r="Q34" s="81">
        <f t="shared" si="7"/>
        <v>60750</v>
      </c>
      <c r="R34" s="37"/>
      <c r="S34" s="37"/>
      <c r="T34" s="37">
        <f aca="true" t="shared" si="14" ref="T34:T67">(D34+E34+F34)/2</f>
        <v>54125</v>
      </c>
      <c r="U34" s="37">
        <f t="shared" si="1"/>
        <v>54125</v>
      </c>
      <c r="V34" s="37">
        <f t="shared" si="2"/>
        <v>108250</v>
      </c>
      <c r="W34" s="37"/>
    </row>
    <row r="35" spans="1:23" s="26" customFormat="1" ht="15" customHeight="1">
      <c r="A35" s="36">
        <v>2</v>
      </c>
      <c r="B35" s="51"/>
      <c r="C35" s="2" t="s">
        <v>10</v>
      </c>
      <c r="D35" s="67">
        <v>0</v>
      </c>
      <c r="E35" s="67">
        <v>0</v>
      </c>
      <c r="F35" s="67">
        <v>0</v>
      </c>
      <c r="H35" s="36"/>
      <c r="I35" s="36">
        <v>200</v>
      </c>
      <c r="J35" s="36"/>
      <c r="K35" s="81">
        <f t="shared" si="3"/>
        <v>0</v>
      </c>
      <c r="L35" s="36">
        <f t="shared" si="4"/>
        <v>600</v>
      </c>
      <c r="M35" s="36">
        <f t="shared" si="5"/>
        <v>0</v>
      </c>
      <c r="N35" s="36">
        <v>550</v>
      </c>
      <c r="O35" s="36">
        <v>21</v>
      </c>
      <c r="P35" s="37">
        <f t="shared" si="6"/>
        <v>0</v>
      </c>
      <c r="Q35" s="81">
        <f t="shared" si="7"/>
        <v>0</v>
      </c>
      <c r="R35" s="37"/>
      <c r="S35" s="37"/>
      <c r="T35" s="37">
        <f t="shared" si="14"/>
        <v>0</v>
      </c>
      <c r="U35" s="37">
        <f t="shared" si="1"/>
        <v>0</v>
      </c>
      <c r="V35" s="37">
        <f t="shared" si="2"/>
        <v>0</v>
      </c>
      <c r="W35" s="37"/>
    </row>
    <row r="36" spans="1:23" s="26" customFormat="1" ht="15" customHeight="1">
      <c r="A36" s="36">
        <v>3</v>
      </c>
      <c r="B36" s="51"/>
      <c r="C36" s="2" t="s">
        <v>11</v>
      </c>
      <c r="D36" s="67">
        <v>28000</v>
      </c>
      <c r="E36" s="67">
        <v>85050</v>
      </c>
      <c r="F36" s="67">
        <v>38500</v>
      </c>
      <c r="H36" s="36">
        <v>7</v>
      </c>
      <c r="I36" s="36">
        <v>200</v>
      </c>
      <c r="J36" s="36">
        <f>D36/H36/I36</f>
        <v>20</v>
      </c>
      <c r="K36" s="81">
        <f t="shared" si="3"/>
        <v>28000</v>
      </c>
      <c r="L36" s="36">
        <f t="shared" si="4"/>
        <v>600</v>
      </c>
      <c r="M36" s="36">
        <f t="shared" si="5"/>
        <v>4200</v>
      </c>
      <c r="N36" s="36">
        <v>550</v>
      </c>
      <c r="O36" s="36">
        <v>21</v>
      </c>
      <c r="P36" s="37">
        <f t="shared" si="6"/>
        <v>80850</v>
      </c>
      <c r="Q36" s="81">
        <f t="shared" si="7"/>
        <v>85050</v>
      </c>
      <c r="R36" s="37"/>
      <c r="S36" s="37"/>
      <c r="T36" s="37">
        <f t="shared" si="14"/>
        <v>75775</v>
      </c>
      <c r="U36" s="37">
        <f t="shared" si="1"/>
        <v>75775</v>
      </c>
      <c r="V36" s="37">
        <f t="shared" si="2"/>
        <v>151550</v>
      </c>
      <c r="W36" s="37"/>
    </row>
    <row r="37" spans="1:23" s="26" customFormat="1" ht="15" customHeight="1">
      <c r="A37" s="36">
        <v>4</v>
      </c>
      <c r="B37" s="51"/>
      <c r="C37" s="2" t="s">
        <v>13</v>
      </c>
      <c r="D37" s="67">
        <v>20000</v>
      </c>
      <c r="E37" s="67">
        <v>60750</v>
      </c>
      <c r="F37" s="67">
        <v>27500</v>
      </c>
      <c r="H37" s="36">
        <v>5</v>
      </c>
      <c r="I37" s="36">
        <v>200</v>
      </c>
      <c r="J37" s="36">
        <f>D37/H37/I37</f>
        <v>20</v>
      </c>
      <c r="K37" s="81">
        <f t="shared" si="3"/>
        <v>20000</v>
      </c>
      <c r="L37" s="36">
        <f t="shared" si="4"/>
        <v>600</v>
      </c>
      <c r="M37" s="36">
        <f t="shared" si="5"/>
        <v>3000</v>
      </c>
      <c r="N37" s="36">
        <v>550</v>
      </c>
      <c r="O37" s="36">
        <v>21</v>
      </c>
      <c r="P37" s="37">
        <f t="shared" si="6"/>
        <v>57750</v>
      </c>
      <c r="Q37" s="81">
        <f t="shared" si="7"/>
        <v>60750</v>
      </c>
      <c r="R37" s="37"/>
      <c r="S37" s="37"/>
      <c r="T37" s="37">
        <f t="shared" si="14"/>
        <v>54125</v>
      </c>
      <c r="U37" s="37">
        <f t="shared" si="1"/>
        <v>54125</v>
      </c>
      <c r="V37" s="37">
        <f t="shared" si="2"/>
        <v>108250</v>
      </c>
      <c r="W37" s="37"/>
    </row>
    <row r="38" spans="1:23" s="26" customFormat="1" ht="15" customHeight="1">
      <c r="A38" s="36">
        <v>5</v>
      </c>
      <c r="B38" s="51"/>
      <c r="C38" s="2" t="s">
        <v>14</v>
      </c>
      <c r="D38" s="67">
        <v>20000</v>
      </c>
      <c r="E38" s="67">
        <v>60750</v>
      </c>
      <c r="F38" s="67">
        <v>27500</v>
      </c>
      <c r="H38" s="82">
        <v>5</v>
      </c>
      <c r="I38" s="36">
        <v>200</v>
      </c>
      <c r="J38" s="36">
        <f>D38/H38/I38</f>
        <v>20</v>
      </c>
      <c r="K38" s="81">
        <f t="shared" si="3"/>
        <v>20000</v>
      </c>
      <c r="L38" s="36">
        <f t="shared" si="4"/>
        <v>600</v>
      </c>
      <c r="M38" s="36">
        <f t="shared" si="5"/>
        <v>3000</v>
      </c>
      <c r="N38" s="36">
        <v>550</v>
      </c>
      <c r="O38" s="36">
        <v>21</v>
      </c>
      <c r="P38" s="37">
        <f t="shared" si="6"/>
        <v>57750</v>
      </c>
      <c r="Q38" s="81">
        <f t="shared" si="7"/>
        <v>60750</v>
      </c>
      <c r="R38" s="37"/>
      <c r="S38" s="37"/>
      <c r="T38" s="37">
        <f t="shared" si="14"/>
        <v>54125</v>
      </c>
      <c r="U38" s="37">
        <f t="shared" si="1"/>
        <v>54125</v>
      </c>
      <c r="V38" s="37">
        <f t="shared" si="2"/>
        <v>108250</v>
      </c>
      <c r="W38" s="37"/>
    </row>
    <row r="39" spans="1:23" s="26" customFormat="1" ht="15">
      <c r="A39" s="36">
        <v>6</v>
      </c>
      <c r="B39" s="51"/>
      <c r="C39" s="2" t="s">
        <v>15</v>
      </c>
      <c r="D39" s="67">
        <v>32000</v>
      </c>
      <c r="E39" s="67">
        <v>97200</v>
      </c>
      <c r="F39" s="67">
        <v>44000</v>
      </c>
      <c r="H39" s="82">
        <v>8</v>
      </c>
      <c r="I39" s="36">
        <v>200</v>
      </c>
      <c r="J39" s="36">
        <v>20</v>
      </c>
      <c r="K39" s="81">
        <f t="shared" si="3"/>
        <v>32000</v>
      </c>
      <c r="L39" s="36">
        <f t="shared" si="4"/>
        <v>600</v>
      </c>
      <c r="M39" s="36">
        <f t="shared" si="5"/>
        <v>4800</v>
      </c>
      <c r="N39" s="36">
        <v>550</v>
      </c>
      <c r="O39" s="36">
        <v>21</v>
      </c>
      <c r="P39" s="37">
        <f t="shared" si="6"/>
        <v>92400</v>
      </c>
      <c r="Q39" s="81">
        <f t="shared" si="7"/>
        <v>97200</v>
      </c>
      <c r="R39" s="37"/>
      <c r="S39" s="37"/>
      <c r="T39" s="37">
        <f t="shared" si="14"/>
        <v>86600</v>
      </c>
      <c r="U39" s="37">
        <f t="shared" si="1"/>
        <v>86600</v>
      </c>
      <c r="V39" s="37">
        <f t="shared" si="2"/>
        <v>173200</v>
      </c>
      <c r="W39" s="37"/>
    </row>
    <row r="40" spans="1:23" s="26" customFormat="1" ht="15" customHeight="1">
      <c r="A40" s="36">
        <v>7</v>
      </c>
      <c r="B40" s="51"/>
      <c r="C40" s="2" t="s">
        <v>16</v>
      </c>
      <c r="D40" s="67">
        <v>28000</v>
      </c>
      <c r="E40" s="67">
        <v>85050</v>
      </c>
      <c r="F40" s="67">
        <v>38500</v>
      </c>
      <c r="H40" s="82">
        <v>7</v>
      </c>
      <c r="I40" s="36">
        <v>200</v>
      </c>
      <c r="J40" s="36">
        <f aca="true" t="shared" si="15" ref="J40:J54">D40/H40/I40</f>
        <v>20</v>
      </c>
      <c r="K40" s="81">
        <f t="shared" si="3"/>
        <v>28000</v>
      </c>
      <c r="L40" s="36">
        <f t="shared" si="4"/>
        <v>600</v>
      </c>
      <c r="M40" s="36">
        <f t="shared" si="5"/>
        <v>4200</v>
      </c>
      <c r="N40" s="36">
        <v>550</v>
      </c>
      <c r="O40" s="36">
        <v>21</v>
      </c>
      <c r="P40" s="37">
        <f t="shared" si="6"/>
        <v>80850</v>
      </c>
      <c r="Q40" s="81">
        <f t="shared" si="7"/>
        <v>85050</v>
      </c>
      <c r="R40" s="37"/>
      <c r="S40" s="37"/>
      <c r="T40" s="37">
        <f t="shared" si="14"/>
        <v>75775</v>
      </c>
      <c r="U40" s="37">
        <f t="shared" si="1"/>
        <v>75775</v>
      </c>
      <c r="V40" s="37">
        <f t="shared" si="2"/>
        <v>151550</v>
      </c>
      <c r="W40" s="37"/>
    </row>
    <row r="41" spans="1:23" s="26" customFormat="1" ht="15" customHeight="1">
      <c r="A41" s="36">
        <v>8</v>
      </c>
      <c r="B41" s="51"/>
      <c r="C41" s="2" t="s">
        <v>41</v>
      </c>
      <c r="D41" s="67">
        <v>60000</v>
      </c>
      <c r="E41" s="67">
        <v>182250</v>
      </c>
      <c r="F41" s="67">
        <v>82500</v>
      </c>
      <c r="H41" s="82">
        <v>15</v>
      </c>
      <c r="I41" s="36">
        <v>200</v>
      </c>
      <c r="J41" s="36">
        <f t="shared" si="15"/>
        <v>20</v>
      </c>
      <c r="K41" s="81">
        <f t="shared" si="3"/>
        <v>60000</v>
      </c>
      <c r="L41" s="36">
        <f t="shared" si="4"/>
        <v>600</v>
      </c>
      <c r="M41" s="36">
        <f t="shared" si="5"/>
        <v>9000</v>
      </c>
      <c r="N41" s="36">
        <v>550</v>
      </c>
      <c r="O41" s="36">
        <v>21</v>
      </c>
      <c r="P41" s="37">
        <f t="shared" si="6"/>
        <v>173250</v>
      </c>
      <c r="Q41" s="81">
        <f t="shared" si="7"/>
        <v>182250</v>
      </c>
      <c r="R41" s="37"/>
      <c r="S41" s="37"/>
      <c r="T41" s="37">
        <f t="shared" si="14"/>
        <v>162375</v>
      </c>
      <c r="U41" s="37">
        <f t="shared" si="1"/>
        <v>162375</v>
      </c>
      <c r="V41" s="37">
        <f t="shared" si="2"/>
        <v>324750</v>
      </c>
      <c r="W41" s="37"/>
    </row>
    <row r="42" spans="1:23" s="26" customFormat="1" ht="15">
      <c r="A42" s="36">
        <v>9</v>
      </c>
      <c r="B42" s="51"/>
      <c r="C42" s="2" t="s">
        <v>42</v>
      </c>
      <c r="D42" s="67">
        <v>72000</v>
      </c>
      <c r="E42" s="67">
        <v>218700</v>
      </c>
      <c r="F42" s="67">
        <v>99000</v>
      </c>
      <c r="H42" s="82">
        <v>18</v>
      </c>
      <c r="I42" s="36">
        <v>200</v>
      </c>
      <c r="J42" s="36">
        <f t="shared" si="15"/>
        <v>20</v>
      </c>
      <c r="K42" s="81">
        <f t="shared" si="3"/>
        <v>72000</v>
      </c>
      <c r="L42" s="36">
        <f t="shared" si="4"/>
        <v>600</v>
      </c>
      <c r="M42" s="36">
        <f t="shared" si="5"/>
        <v>10800</v>
      </c>
      <c r="N42" s="36">
        <v>550</v>
      </c>
      <c r="O42" s="36">
        <v>21</v>
      </c>
      <c r="P42" s="37">
        <f t="shared" si="6"/>
        <v>207900</v>
      </c>
      <c r="Q42" s="81">
        <f t="shared" si="7"/>
        <v>218700</v>
      </c>
      <c r="R42" s="37"/>
      <c r="S42" s="37"/>
      <c r="T42" s="37">
        <f t="shared" si="14"/>
        <v>194850</v>
      </c>
      <c r="U42" s="37">
        <f t="shared" si="1"/>
        <v>194850</v>
      </c>
      <c r="V42" s="37">
        <f t="shared" si="2"/>
        <v>389700</v>
      </c>
      <c r="W42" s="37"/>
    </row>
    <row r="43" spans="1:23" s="26" customFormat="1" ht="15" customHeight="1">
      <c r="A43" s="36">
        <v>10</v>
      </c>
      <c r="B43" s="51"/>
      <c r="C43" s="2" t="s">
        <v>17</v>
      </c>
      <c r="D43" s="67">
        <v>68000</v>
      </c>
      <c r="E43" s="67">
        <v>206550</v>
      </c>
      <c r="F43" s="67">
        <v>93500</v>
      </c>
      <c r="H43" s="82">
        <v>17</v>
      </c>
      <c r="I43" s="36">
        <v>200</v>
      </c>
      <c r="J43" s="36">
        <f t="shared" si="15"/>
        <v>20</v>
      </c>
      <c r="K43" s="81">
        <f t="shared" si="3"/>
        <v>68000</v>
      </c>
      <c r="L43" s="36">
        <f t="shared" si="4"/>
        <v>600</v>
      </c>
      <c r="M43" s="36">
        <f t="shared" si="5"/>
        <v>10200</v>
      </c>
      <c r="N43" s="36">
        <v>550</v>
      </c>
      <c r="O43" s="36">
        <v>21</v>
      </c>
      <c r="P43" s="37">
        <f t="shared" si="6"/>
        <v>196350</v>
      </c>
      <c r="Q43" s="81">
        <f t="shared" si="7"/>
        <v>206550</v>
      </c>
      <c r="R43" s="37"/>
      <c r="S43" s="37"/>
      <c r="T43" s="37">
        <f t="shared" si="14"/>
        <v>184025</v>
      </c>
      <c r="U43" s="37">
        <f t="shared" si="1"/>
        <v>184025</v>
      </c>
      <c r="V43" s="37">
        <f t="shared" si="2"/>
        <v>368050</v>
      </c>
      <c r="W43" s="37"/>
    </row>
    <row r="44" spans="1:23" s="26" customFormat="1" ht="15" customHeight="1">
      <c r="A44" s="36">
        <v>11</v>
      </c>
      <c r="B44" s="51"/>
      <c r="C44" s="2" t="s">
        <v>18</v>
      </c>
      <c r="D44" s="67">
        <v>60000</v>
      </c>
      <c r="E44" s="67">
        <v>182250</v>
      </c>
      <c r="F44" s="67">
        <v>82500</v>
      </c>
      <c r="H44" s="82">
        <v>15</v>
      </c>
      <c r="I44" s="36">
        <v>200</v>
      </c>
      <c r="J44" s="36">
        <f t="shared" si="15"/>
        <v>20</v>
      </c>
      <c r="K44" s="81">
        <f t="shared" si="3"/>
        <v>60000</v>
      </c>
      <c r="L44" s="36">
        <f t="shared" si="4"/>
        <v>600</v>
      </c>
      <c r="M44" s="36">
        <f t="shared" si="5"/>
        <v>9000</v>
      </c>
      <c r="N44" s="36">
        <v>550</v>
      </c>
      <c r="O44" s="36">
        <v>21</v>
      </c>
      <c r="P44" s="37">
        <f t="shared" si="6"/>
        <v>173250</v>
      </c>
      <c r="Q44" s="81">
        <f t="shared" si="7"/>
        <v>182250</v>
      </c>
      <c r="R44" s="37"/>
      <c r="S44" s="37"/>
      <c r="T44" s="37">
        <f t="shared" si="14"/>
        <v>162375</v>
      </c>
      <c r="U44" s="37">
        <f t="shared" si="1"/>
        <v>162375</v>
      </c>
      <c r="V44" s="37">
        <f t="shared" si="2"/>
        <v>324750</v>
      </c>
      <c r="W44" s="37"/>
    </row>
    <row r="45" spans="1:23" s="26" customFormat="1" ht="15">
      <c r="A45" s="36">
        <v>12</v>
      </c>
      <c r="B45" s="51"/>
      <c r="C45" s="2" t="s">
        <v>19</v>
      </c>
      <c r="D45" s="67">
        <v>20000</v>
      </c>
      <c r="E45" s="67">
        <v>60750</v>
      </c>
      <c r="F45" s="67">
        <v>27500</v>
      </c>
      <c r="H45" s="82">
        <v>5</v>
      </c>
      <c r="I45" s="36">
        <v>200</v>
      </c>
      <c r="J45" s="36">
        <f t="shared" si="15"/>
        <v>20</v>
      </c>
      <c r="K45" s="81">
        <f t="shared" si="3"/>
        <v>20000</v>
      </c>
      <c r="L45" s="36">
        <f t="shared" si="4"/>
        <v>600</v>
      </c>
      <c r="M45" s="36">
        <f t="shared" si="5"/>
        <v>3000</v>
      </c>
      <c r="N45" s="36">
        <v>550</v>
      </c>
      <c r="O45" s="36">
        <v>21</v>
      </c>
      <c r="P45" s="37">
        <f t="shared" si="6"/>
        <v>57750</v>
      </c>
      <c r="Q45" s="81">
        <f t="shared" si="7"/>
        <v>60750</v>
      </c>
      <c r="R45" s="37"/>
      <c r="S45" s="37"/>
      <c r="T45" s="37">
        <f t="shared" si="14"/>
        <v>54125</v>
      </c>
      <c r="U45" s="37">
        <f t="shared" si="1"/>
        <v>54125</v>
      </c>
      <c r="V45" s="37">
        <f t="shared" si="2"/>
        <v>108250</v>
      </c>
      <c r="W45" s="37"/>
    </row>
    <row r="46" spans="1:23" s="26" customFormat="1" ht="15" customHeight="1">
      <c r="A46" s="36">
        <v>13</v>
      </c>
      <c r="B46" s="51"/>
      <c r="C46" s="2" t="s">
        <v>20</v>
      </c>
      <c r="D46" s="67">
        <v>44000</v>
      </c>
      <c r="E46" s="67">
        <v>133650</v>
      </c>
      <c r="F46" s="67">
        <v>60500</v>
      </c>
      <c r="H46" s="82">
        <v>11</v>
      </c>
      <c r="I46" s="36">
        <v>200</v>
      </c>
      <c r="J46" s="36">
        <f t="shared" si="15"/>
        <v>20</v>
      </c>
      <c r="K46" s="81">
        <f t="shared" si="3"/>
        <v>44000</v>
      </c>
      <c r="L46" s="36">
        <f t="shared" si="4"/>
        <v>600</v>
      </c>
      <c r="M46" s="36">
        <f t="shared" si="5"/>
        <v>6600</v>
      </c>
      <c r="N46" s="36">
        <v>550</v>
      </c>
      <c r="O46" s="36">
        <v>21</v>
      </c>
      <c r="P46" s="37">
        <f t="shared" si="6"/>
        <v>127050</v>
      </c>
      <c r="Q46" s="81">
        <f t="shared" si="7"/>
        <v>133650</v>
      </c>
      <c r="R46" s="37"/>
      <c r="S46" s="37"/>
      <c r="T46" s="37">
        <f t="shared" si="14"/>
        <v>119075</v>
      </c>
      <c r="U46" s="37">
        <f t="shared" si="1"/>
        <v>119075</v>
      </c>
      <c r="V46" s="37">
        <f t="shared" si="2"/>
        <v>238150</v>
      </c>
      <c r="W46" s="37"/>
    </row>
    <row r="47" spans="1:23" s="26" customFormat="1" ht="15">
      <c r="A47" s="36">
        <v>14</v>
      </c>
      <c r="B47" s="51"/>
      <c r="C47" s="2" t="s">
        <v>22</v>
      </c>
      <c r="D47" s="67">
        <v>28000</v>
      </c>
      <c r="E47" s="67">
        <v>85050</v>
      </c>
      <c r="F47" s="67">
        <v>38500</v>
      </c>
      <c r="H47" s="82">
        <v>7</v>
      </c>
      <c r="I47" s="36">
        <v>200</v>
      </c>
      <c r="J47" s="36">
        <f t="shared" si="15"/>
        <v>20</v>
      </c>
      <c r="K47" s="81">
        <f t="shared" si="3"/>
        <v>28000</v>
      </c>
      <c r="L47" s="36">
        <f t="shared" si="4"/>
        <v>600</v>
      </c>
      <c r="M47" s="36">
        <f t="shared" si="5"/>
        <v>4200</v>
      </c>
      <c r="N47" s="36">
        <v>550</v>
      </c>
      <c r="O47" s="36">
        <v>21</v>
      </c>
      <c r="P47" s="37">
        <f t="shared" si="6"/>
        <v>80850</v>
      </c>
      <c r="Q47" s="81">
        <f t="shared" si="7"/>
        <v>85050</v>
      </c>
      <c r="R47" s="37"/>
      <c r="S47" s="37"/>
      <c r="T47" s="37">
        <f t="shared" si="14"/>
        <v>75775</v>
      </c>
      <c r="U47" s="37">
        <f t="shared" si="1"/>
        <v>75775</v>
      </c>
      <c r="V47" s="37">
        <f t="shared" si="2"/>
        <v>151550</v>
      </c>
      <c r="W47" s="37"/>
    </row>
    <row r="48" spans="1:23" s="26" customFormat="1" ht="15" customHeight="1">
      <c r="A48" s="36">
        <v>15</v>
      </c>
      <c r="B48" s="51"/>
      <c r="C48" s="2" t="s">
        <v>23</v>
      </c>
      <c r="D48" s="67">
        <v>28000</v>
      </c>
      <c r="E48" s="67">
        <v>85050</v>
      </c>
      <c r="F48" s="67">
        <v>38500</v>
      </c>
      <c r="H48" s="82">
        <v>7</v>
      </c>
      <c r="I48" s="36">
        <v>200</v>
      </c>
      <c r="J48" s="36">
        <f t="shared" si="15"/>
        <v>20</v>
      </c>
      <c r="K48" s="81">
        <f t="shared" si="3"/>
        <v>28000</v>
      </c>
      <c r="L48" s="36">
        <f t="shared" si="4"/>
        <v>600</v>
      </c>
      <c r="M48" s="36">
        <f t="shared" si="5"/>
        <v>4200</v>
      </c>
      <c r="N48" s="36">
        <v>550</v>
      </c>
      <c r="O48" s="36">
        <v>21</v>
      </c>
      <c r="P48" s="37">
        <f t="shared" si="6"/>
        <v>80850</v>
      </c>
      <c r="Q48" s="81">
        <f t="shared" si="7"/>
        <v>85050</v>
      </c>
      <c r="R48" s="37"/>
      <c r="S48" s="37"/>
      <c r="T48" s="37">
        <f t="shared" si="14"/>
        <v>75775</v>
      </c>
      <c r="U48" s="37">
        <f t="shared" si="1"/>
        <v>75775</v>
      </c>
      <c r="V48" s="37">
        <f t="shared" si="2"/>
        <v>151550</v>
      </c>
      <c r="W48" s="37"/>
    </row>
    <row r="49" spans="1:23" s="26" customFormat="1" ht="15" customHeight="1">
      <c r="A49" s="36">
        <v>16</v>
      </c>
      <c r="B49" s="51"/>
      <c r="C49" s="2" t="s">
        <v>24</v>
      </c>
      <c r="D49" s="67">
        <v>20000</v>
      </c>
      <c r="E49" s="67">
        <v>60750</v>
      </c>
      <c r="F49" s="67">
        <v>27500</v>
      </c>
      <c r="H49" s="82">
        <v>5</v>
      </c>
      <c r="I49" s="36">
        <v>200</v>
      </c>
      <c r="J49" s="36">
        <f t="shared" si="15"/>
        <v>20</v>
      </c>
      <c r="K49" s="81">
        <f t="shared" si="3"/>
        <v>20000</v>
      </c>
      <c r="L49" s="36">
        <f t="shared" si="4"/>
        <v>600</v>
      </c>
      <c r="M49" s="36">
        <f t="shared" si="5"/>
        <v>3000</v>
      </c>
      <c r="N49" s="36">
        <v>550</v>
      </c>
      <c r="O49" s="36">
        <v>21</v>
      </c>
      <c r="P49" s="37">
        <f t="shared" si="6"/>
        <v>57750</v>
      </c>
      <c r="Q49" s="81">
        <f t="shared" si="7"/>
        <v>60750</v>
      </c>
      <c r="R49" s="37"/>
      <c r="S49" s="37"/>
      <c r="T49" s="37">
        <f t="shared" si="14"/>
        <v>54125</v>
      </c>
      <c r="U49" s="37">
        <f t="shared" si="1"/>
        <v>54125</v>
      </c>
      <c r="V49" s="37">
        <f t="shared" si="2"/>
        <v>108250</v>
      </c>
      <c r="W49" s="37"/>
    </row>
    <row r="50" spans="1:23" s="26" customFormat="1" ht="15">
      <c r="A50" s="36">
        <v>17</v>
      </c>
      <c r="B50" s="51"/>
      <c r="C50" s="2" t="s">
        <v>25</v>
      </c>
      <c r="D50" s="67">
        <v>40000</v>
      </c>
      <c r="E50" s="67">
        <v>121500</v>
      </c>
      <c r="F50" s="67">
        <v>55000</v>
      </c>
      <c r="H50" s="82">
        <v>10</v>
      </c>
      <c r="I50" s="36">
        <v>200</v>
      </c>
      <c r="J50" s="36">
        <f t="shared" si="15"/>
        <v>20</v>
      </c>
      <c r="K50" s="81">
        <f t="shared" si="3"/>
        <v>40000</v>
      </c>
      <c r="L50" s="36">
        <f t="shared" si="4"/>
        <v>600</v>
      </c>
      <c r="M50" s="36">
        <f t="shared" si="5"/>
        <v>6000</v>
      </c>
      <c r="N50" s="36">
        <v>550</v>
      </c>
      <c r="O50" s="36">
        <v>21</v>
      </c>
      <c r="P50" s="37">
        <f t="shared" si="6"/>
        <v>115500</v>
      </c>
      <c r="Q50" s="81">
        <f t="shared" si="7"/>
        <v>121500</v>
      </c>
      <c r="R50" s="37"/>
      <c r="S50" s="37"/>
      <c r="T50" s="37">
        <f t="shared" si="14"/>
        <v>108250</v>
      </c>
      <c r="U50" s="37">
        <f t="shared" si="1"/>
        <v>108250</v>
      </c>
      <c r="V50" s="37">
        <f t="shared" si="2"/>
        <v>216500</v>
      </c>
      <c r="W50" s="37"/>
    </row>
    <row r="51" spans="1:23" s="26" customFormat="1" ht="15" customHeight="1">
      <c r="A51" s="36">
        <v>18</v>
      </c>
      <c r="B51" s="51"/>
      <c r="C51" s="2" t="s">
        <v>26</v>
      </c>
      <c r="D51" s="67">
        <v>36000</v>
      </c>
      <c r="E51" s="67">
        <v>109350</v>
      </c>
      <c r="F51" s="67">
        <v>49500</v>
      </c>
      <c r="H51" s="82">
        <v>9</v>
      </c>
      <c r="I51" s="36">
        <v>200</v>
      </c>
      <c r="J51" s="36">
        <f t="shared" si="15"/>
        <v>20</v>
      </c>
      <c r="K51" s="81">
        <f t="shared" si="3"/>
        <v>36000</v>
      </c>
      <c r="L51" s="36">
        <f t="shared" si="4"/>
        <v>600</v>
      </c>
      <c r="M51" s="36">
        <f t="shared" si="5"/>
        <v>5400</v>
      </c>
      <c r="N51" s="36">
        <v>550</v>
      </c>
      <c r="O51" s="36">
        <v>21</v>
      </c>
      <c r="P51" s="37">
        <f t="shared" si="6"/>
        <v>103950</v>
      </c>
      <c r="Q51" s="81">
        <f t="shared" si="7"/>
        <v>109350</v>
      </c>
      <c r="R51" s="37"/>
      <c r="S51" s="37"/>
      <c r="T51" s="37">
        <f t="shared" si="14"/>
        <v>97425</v>
      </c>
      <c r="U51" s="37">
        <f t="shared" si="1"/>
        <v>97425</v>
      </c>
      <c r="V51" s="37">
        <f t="shared" si="2"/>
        <v>194850</v>
      </c>
      <c r="W51" s="37"/>
    </row>
    <row r="52" spans="1:23" s="26" customFormat="1" ht="15" customHeight="1">
      <c r="A52" s="36">
        <v>19</v>
      </c>
      <c r="B52" s="51"/>
      <c r="C52" s="2" t="s">
        <v>27</v>
      </c>
      <c r="D52" s="67">
        <v>28000</v>
      </c>
      <c r="E52" s="67">
        <v>85050</v>
      </c>
      <c r="F52" s="67">
        <v>38500</v>
      </c>
      <c r="H52" s="82">
        <v>7</v>
      </c>
      <c r="I52" s="36">
        <v>200</v>
      </c>
      <c r="J52" s="36">
        <f t="shared" si="15"/>
        <v>20</v>
      </c>
      <c r="K52" s="81">
        <f t="shared" si="3"/>
        <v>28000</v>
      </c>
      <c r="L52" s="36">
        <f t="shared" si="4"/>
        <v>600</v>
      </c>
      <c r="M52" s="36">
        <f t="shared" si="5"/>
        <v>4200</v>
      </c>
      <c r="N52" s="36">
        <v>550</v>
      </c>
      <c r="O52" s="36">
        <v>21</v>
      </c>
      <c r="P52" s="37">
        <f t="shared" si="6"/>
        <v>80850</v>
      </c>
      <c r="Q52" s="81">
        <f t="shared" si="7"/>
        <v>85050</v>
      </c>
      <c r="R52" s="37"/>
      <c r="S52" s="37"/>
      <c r="T52" s="37">
        <f t="shared" si="14"/>
        <v>75775</v>
      </c>
      <c r="U52" s="37">
        <f t="shared" si="1"/>
        <v>75775</v>
      </c>
      <c r="V52" s="37">
        <f t="shared" si="2"/>
        <v>151550</v>
      </c>
      <c r="W52" s="37"/>
    </row>
    <row r="53" spans="1:23" s="26" customFormat="1" ht="15">
      <c r="A53" s="36">
        <v>20</v>
      </c>
      <c r="B53" s="51"/>
      <c r="C53" s="2" t="s">
        <v>28</v>
      </c>
      <c r="D53" s="67">
        <v>28000</v>
      </c>
      <c r="E53" s="67">
        <v>85050</v>
      </c>
      <c r="F53" s="67">
        <v>38500</v>
      </c>
      <c r="H53" s="82">
        <v>7</v>
      </c>
      <c r="I53" s="36">
        <v>200</v>
      </c>
      <c r="J53" s="36">
        <f t="shared" si="15"/>
        <v>20</v>
      </c>
      <c r="K53" s="81">
        <f t="shared" si="3"/>
        <v>28000</v>
      </c>
      <c r="L53" s="36">
        <f t="shared" si="4"/>
        <v>600</v>
      </c>
      <c r="M53" s="36">
        <f t="shared" si="5"/>
        <v>4200</v>
      </c>
      <c r="N53" s="36">
        <v>550</v>
      </c>
      <c r="O53" s="36">
        <v>21</v>
      </c>
      <c r="P53" s="37">
        <f t="shared" si="6"/>
        <v>80850</v>
      </c>
      <c r="Q53" s="81">
        <f t="shared" si="7"/>
        <v>85050</v>
      </c>
      <c r="R53" s="37"/>
      <c r="S53" s="37"/>
      <c r="T53" s="37">
        <f t="shared" si="14"/>
        <v>75775</v>
      </c>
      <c r="U53" s="37">
        <f t="shared" si="1"/>
        <v>75775</v>
      </c>
      <c r="V53" s="37">
        <f t="shared" si="2"/>
        <v>151550</v>
      </c>
      <c r="W53" s="37"/>
    </row>
    <row r="54" spans="1:23" s="26" customFormat="1" ht="15" customHeight="1">
      <c r="A54" s="36">
        <v>21</v>
      </c>
      <c r="B54" s="51"/>
      <c r="C54" s="4" t="s">
        <v>29</v>
      </c>
      <c r="D54" s="67">
        <v>8000</v>
      </c>
      <c r="E54" s="67">
        <v>24300</v>
      </c>
      <c r="F54" s="67">
        <v>11000</v>
      </c>
      <c r="H54" s="82">
        <v>2</v>
      </c>
      <c r="I54" s="36">
        <v>200</v>
      </c>
      <c r="J54" s="36">
        <f t="shared" si="15"/>
        <v>20</v>
      </c>
      <c r="K54" s="81">
        <f t="shared" si="3"/>
        <v>8000</v>
      </c>
      <c r="L54" s="36">
        <f t="shared" si="4"/>
        <v>600</v>
      </c>
      <c r="M54" s="36">
        <f t="shared" si="5"/>
        <v>1200</v>
      </c>
      <c r="N54" s="36">
        <v>550</v>
      </c>
      <c r="O54" s="36">
        <v>21</v>
      </c>
      <c r="P54" s="37">
        <f t="shared" si="6"/>
        <v>23100</v>
      </c>
      <c r="Q54" s="81">
        <f t="shared" si="7"/>
        <v>24300</v>
      </c>
      <c r="R54" s="37"/>
      <c r="S54" s="37"/>
      <c r="T54" s="37">
        <f t="shared" si="14"/>
        <v>21650</v>
      </c>
      <c r="U54" s="37">
        <f t="shared" si="1"/>
        <v>21650</v>
      </c>
      <c r="V54" s="37">
        <f t="shared" si="2"/>
        <v>43300</v>
      </c>
      <c r="W54" s="37"/>
    </row>
    <row r="55" spans="1:23" s="26" customFormat="1" ht="15" customHeight="1">
      <c r="A55" s="36">
        <v>22</v>
      </c>
      <c r="B55" s="51"/>
      <c r="C55" s="4" t="s">
        <v>30</v>
      </c>
      <c r="D55" s="67">
        <v>0</v>
      </c>
      <c r="E55" s="67">
        <v>0</v>
      </c>
      <c r="F55" s="67">
        <v>0</v>
      </c>
      <c r="H55" s="36"/>
      <c r="I55" s="36">
        <v>200</v>
      </c>
      <c r="J55" s="36"/>
      <c r="K55" s="81">
        <f t="shared" si="3"/>
        <v>0</v>
      </c>
      <c r="L55" s="36">
        <f t="shared" si="4"/>
        <v>600</v>
      </c>
      <c r="M55" s="36">
        <f t="shared" si="5"/>
        <v>0</v>
      </c>
      <c r="N55" s="36">
        <v>550</v>
      </c>
      <c r="O55" s="36">
        <v>21</v>
      </c>
      <c r="P55" s="37">
        <f t="shared" si="6"/>
        <v>0</v>
      </c>
      <c r="Q55" s="81">
        <f t="shared" si="7"/>
        <v>0</v>
      </c>
      <c r="R55" s="37"/>
      <c r="S55" s="37"/>
      <c r="T55" s="37">
        <f t="shared" si="14"/>
        <v>0</v>
      </c>
      <c r="U55" s="37">
        <f t="shared" si="1"/>
        <v>0</v>
      </c>
      <c r="V55" s="37">
        <f t="shared" si="2"/>
        <v>0</v>
      </c>
      <c r="W55" s="37"/>
    </row>
    <row r="56" spans="1:23" s="26" customFormat="1" ht="15">
      <c r="A56" s="36">
        <v>23</v>
      </c>
      <c r="B56" s="51"/>
      <c r="C56" s="4" t="s">
        <v>31</v>
      </c>
      <c r="D56" s="67">
        <v>12000</v>
      </c>
      <c r="E56" s="67">
        <v>36450</v>
      </c>
      <c r="F56" s="67">
        <v>16500</v>
      </c>
      <c r="H56" s="36">
        <v>3</v>
      </c>
      <c r="I56" s="36">
        <v>200</v>
      </c>
      <c r="J56" s="36">
        <f>D56/H56/I56</f>
        <v>20</v>
      </c>
      <c r="K56" s="81">
        <f t="shared" si="3"/>
        <v>12000</v>
      </c>
      <c r="L56" s="36">
        <f t="shared" si="4"/>
        <v>600</v>
      </c>
      <c r="M56" s="36">
        <f t="shared" si="5"/>
        <v>1800</v>
      </c>
      <c r="N56" s="36">
        <v>550</v>
      </c>
      <c r="O56" s="36">
        <v>21</v>
      </c>
      <c r="P56" s="37">
        <f t="shared" si="6"/>
        <v>34650</v>
      </c>
      <c r="Q56" s="81">
        <f t="shared" si="7"/>
        <v>36450</v>
      </c>
      <c r="R56" s="37"/>
      <c r="S56" s="37"/>
      <c r="T56" s="37">
        <f t="shared" si="14"/>
        <v>32475</v>
      </c>
      <c r="U56" s="37">
        <f t="shared" si="1"/>
        <v>32475</v>
      </c>
      <c r="V56" s="37">
        <f t="shared" si="2"/>
        <v>64950</v>
      </c>
      <c r="W56" s="37"/>
    </row>
    <row r="57" spans="1:23" s="26" customFormat="1" ht="15" customHeight="1">
      <c r="A57" s="36">
        <v>24</v>
      </c>
      <c r="B57" s="51"/>
      <c r="C57" s="4" t="s">
        <v>32</v>
      </c>
      <c r="D57" s="67">
        <v>28000</v>
      </c>
      <c r="E57" s="67">
        <v>85050</v>
      </c>
      <c r="F57" s="67">
        <v>38500</v>
      </c>
      <c r="H57" s="36">
        <v>7</v>
      </c>
      <c r="I57" s="36">
        <v>200</v>
      </c>
      <c r="J57" s="36">
        <f>D57/H57/I57</f>
        <v>20</v>
      </c>
      <c r="K57" s="81">
        <f t="shared" si="3"/>
        <v>28000</v>
      </c>
      <c r="L57" s="36">
        <f t="shared" si="4"/>
        <v>600</v>
      </c>
      <c r="M57" s="36">
        <f t="shared" si="5"/>
        <v>4200</v>
      </c>
      <c r="N57" s="36">
        <v>550</v>
      </c>
      <c r="O57" s="36">
        <v>21</v>
      </c>
      <c r="P57" s="37">
        <f t="shared" si="6"/>
        <v>80850</v>
      </c>
      <c r="Q57" s="81">
        <f t="shared" si="7"/>
        <v>85050</v>
      </c>
      <c r="R57" s="37"/>
      <c r="S57" s="37"/>
      <c r="T57" s="37">
        <f t="shared" si="14"/>
        <v>75775</v>
      </c>
      <c r="U57" s="37">
        <f t="shared" si="1"/>
        <v>75775</v>
      </c>
      <c r="V57" s="37">
        <f t="shared" si="2"/>
        <v>151550</v>
      </c>
      <c r="W57" s="37"/>
    </row>
    <row r="58" spans="1:23" s="26" customFormat="1" ht="15" customHeight="1">
      <c r="A58" s="36">
        <v>25</v>
      </c>
      <c r="B58" s="51"/>
      <c r="C58" s="4" t="s">
        <v>33</v>
      </c>
      <c r="D58" s="67">
        <v>28000</v>
      </c>
      <c r="E58" s="67">
        <v>85050</v>
      </c>
      <c r="F58" s="67">
        <v>38500</v>
      </c>
      <c r="H58" s="36">
        <v>7</v>
      </c>
      <c r="I58" s="36">
        <v>200</v>
      </c>
      <c r="J58" s="36">
        <f>D58/H58/I58</f>
        <v>20</v>
      </c>
      <c r="K58" s="81">
        <f t="shared" si="3"/>
        <v>28000</v>
      </c>
      <c r="L58" s="36">
        <f t="shared" si="4"/>
        <v>600</v>
      </c>
      <c r="M58" s="36">
        <f t="shared" si="5"/>
        <v>4200</v>
      </c>
      <c r="N58" s="36">
        <v>550</v>
      </c>
      <c r="O58" s="36">
        <v>21</v>
      </c>
      <c r="P58" s="37">
        <f t="shared" si="6"/>
        <v>80850</v>
      </c>
      <c r="Q58" s="81">
        <f t="shared" si="7"/>
        <v>85050</v>
      </c>
      <c r="R58" s="37"/>
      <c r="S58" s="37"/>
      <c r="T58" s="37">
        <f t="shared" si="14"/>
        <v>75775</v>
      </c>
      <c r="U58" s="37">
        <f t="shared" si="1"/>
        <v>75775</v>
      </c>
      <c r="V58" s="37">
        <f t="shared" si="2"/>
        <v>151550</v>
      </c>
      <c r="W58" s="37"/>
    </row>
    <row r="59" spans="1:23" s="26" customFormat="1" ht="15">
      <c r="A59" s="36">
        <v>26</v>
      </c>
      <c r="B59" s="51"/>
      <c r="C59" s="4" t="s">
        <v>40</v>
      </c>
      <c r="D59" s="67">
        <v>16000</v>
      </c>
      <c r="E59" s="67">
        <v>48600</v>
      </c>
      <c r="F59" s="67">
        <v>22000</v>
      </c>
      <c r="H59" s="36">
        <v>4</v>
      </c>
      <c r="I59" s="36">
        <v>200</v>
      </c>
      <c r="J59" s="36">
        <v>20</v>
      </c>
      <c r="K59" s="81">
        <f t="shared" si="3"/>
        <v>16000</v>
      </c>
      <c r="L59" s="36">
        <f t="shared" si="4"/>
        <v>600</v>
      </c>
      <c r="M59" s="36">
        <f t="shared" si="5"/>
        <v>2400</v>
      </c>
      <c r="N59" s="36">
        <v>550</v>
      </c>
      <c r="O59" s="36">
        <v>21</v>
      </c>
      <c r="P59" s="37">
        <f t="shared" si="6"/>
        <v>46200</v>
      </c>
      <c r="Q59" s="81">
        <f t="shared" si="7"/>
        <v>48600</v>
      </c>
      <c r="R59" s="37"/>
      <c r="S59" s="37"/>
      <c r="T59" s="37">
        <f t="shared" si="14"/>
        <v>43300</v>
      </c>
      <c r="U59" s="37">
        <f t="shared" si="1"/>
        <v>43300</v>
      </c>
      <c r="V59" s="37">
        <f t="shared" si="2"/>
        <v>86600</v>
      </c>
      <c r="W59" s="37"/>
    </row>
    <row r="60" spans="1:23" s="26" customFormat="1" ht="15" customHeight="1">
      <c r="A60" s="36">
        <v>27</v>
      </c>
      <c r="B60" s="51"/>
      <c r="C60" s="4" t="s">
        <v>34</v>
      </c>
      <c r="D60" s="67">
        <v>8000</v>
      </c>
      <c r="E60" s="67">
        <v>24300</v>
      </c>
      <c r="F60" s="67">
        <v>11000</v>
      </c>
      <c r="H60" s="36">
        <v>2</v>
      </c>
      <c r="I60" s="36">
        <v>200</v>
      </c>
      <c r="J60" s="36">
        <f aca="true" t="shared" si="16" ref="J60:J67">D60/H60/I60</f>
        <v>20</v>
      </c>
      <c r="K60" s="81">
        <f t="shared" si="3"/>
        <v>8000</v>
      </c>
      <c r="L60" s="36">
        <f t="shared" si="4"/>
        <v>600</v>
      </c>
      <c r="M60" s="36">
        <f t="shared" si="5"/>
        <v>1200</v>
      </c>
      <c r="N60" s="36">
        <v>550</v>
      </c>
      <c r="O60" s="36">
        <v>21</v>
      </c>
      <c r="P60" s="37">
        <f t="shared" si="6"/>
        <v>23100</v>
      </c>
      <c r="Q60" s="81">
        <f t="shared" si="7"/>
        <v>24300</v>
      </c>
      <c r="R60" s="37"/>
      <c r="S60" s="37"/>
      <c r="T60" s="37">
        <f t="shared" si="14"/>
        <v>21650</v>
      </c>
      <c r="U60" s="37">
        <f t="shared" si="1"/>
        <v>21650</v>
      </c>
      <c r="V60" s="37">
        <f t="shared" si="2"/>
        <v>43300</v>
      </c>
      <c r="W60" s="37"/>
    </row>
    <row r="61" spans="1:23" s="26" customFormat="1" ht="15" customHeight="1">
      <c r="A61" s="36">
        <v>28</v>
      </c>
      <c r="B61" s="51"/>
      <c r="C61" s="4" t="s">
        <v>35</v>
      </c>
      <c r="D61" s="67">
        <v>12000</v>
      </c>
      <c r="E61" s="67">
        <v>36450</v>
      </c>
      <c r="F61" s="67">
        <v>16500</v>
      </c>
      <c r="H61" s="36">
        <v>3</v>
      </c>
      <c r="I61" s="36">
        <v>200</v>
      </c>
      <c r="J61" s="36">
        <f t="shared" si="16"/>
        <v>20</v>
      </c>
      <c r="K61" s="81">
        <f t="shared" si="3"/>
        <v>12000</v>
      </c>
      <c r="L61" s="36">
        <f t="shared" si="4"/>
        <v>600</v>
      </c>
      <c r="M61" s="36">
        <f t="shared" si="5"/>
        <v>1800</v>
      </c>
      <c r="N61" s="36">
        <v>550</v>
      </c>
      <c r="O61" s="36">
        <v>21</v>
      </c>
      <c r="P61" s="37">
        <f t="shared" si="6"/>
        <v>34650</v>
      </c>
      <c r="Q61" s="81">
        <f t="shared" si="7"/>
        <v>36450</v>
      </c>
      <c r="R61" s="37"/>
      <c r="S61" s="37"/>
      <c r="T61" s="37">
        <f t="shared" si="14"/>
        <v>32475</v>
      </c>
      <c r="U61" s="37">
        <f t="shared" si="1"/>
        <v>32475</v>
      </c>
      <c r="V61" s="37">
        <f t="shared" si="2"/>
        <v>64950</v>
      </c>
      <c r="W61" s="37"/>
    </row>
    <row r="62" spans="1:23" s="26" customFormat="1" ht="15">
      <c r="A62" s="36">
        <v>29</v>
      </c>
      <c r="B62" s="51"/>
      <c r="C62" s="4" t="s">
        <v>36</v>
      </c>
      <c r="D62" s="67">
        <v>16000</v>
      </c>
      <c r="E62" s="67">
        <v>48600</v>
      </c>
      <c r="F62" s="67">
        <v>22000</v>
      </c>
      <c r="H62" s="36">
        <v>4</v>
      </c>
      <c r="I62" s="36">
        <v>200</v>
      </c>
      <c r="J62" s="36">
        <f t="shared" si="16"/>
        <v>20</v>
      </c>
      <c r="K62" s="81">
        <f t="shared" si="3"/>
        <v>16000</v>
      </c>
      <c r="L62" s="36">
        <f t="shared" si="4"/>
        <v>600</v>
      </c>
      <c r="M62" s="36">
        <f t="shared" si="5"/>
        <v>2400</v>
      </c>
      <c r="N62" s="36">
        <v>550</v>
      </c>
      <c r="O62" s="36">
        <v>21</v>
      </c>
      <c r="P62" s="37">
        <f t="shared" si="6"/>
        <v>46200</v>
      </c>
      <c r="Q62" s="81">
        <f t="shared" si="7"/>
        <v>48600</v>
      </c>
      <c r="R62" s="37"/>
      <c r="S62" s="37"/>
      <c r="T62" s="37">
        <f t="shared" si="14"/>
        <v>43300</v>
      </c>
      <c r="U62" s="37">
        <f t="shared" si="1"/>
        <v>43300</v>
      </c>
      <c r="V62" s="37">
        <f t="shared" si="2"/>
        <v>86600</v>
      </c>
      <c r="W62" s="37"/>
    </row>
    <row r="63" spans="1:23" s="26" customFormat="1" ht="15" customHeight="1">
      <c r="A63" s="36">
        <v>30</v>
      </c>
      <c r="B63" s="51"/>
      <c r="C63" s="4" t="s">
        <v>37</v>
      </c>
      <c r="D63" s="67">
        <v>12000</v>
      </c>
      <c r="E63" s="67">
        <v>36450</v>
      </c>
      <c r="F63" s="67">
        <v>16500</v>
      </c>
      <c r="H63" s="36">
        <v>3</v>
      </c>
      <c r="I63" s="36">
        <v>200</v>
      </c>
      <c r="J63" s="36">
        <f t="shared" si="16"/>
        <v>20</v>
      </c>
      <c r="K63" s="81">
        <f t="shared" si="3"/>
        <v>12000</v>
      </c>
      <c r="L63" s="36">
        <f t="shared" si="4"/>
        <v>600</v>
      </c>
      <c r="M63" s="36">
        <f t="shared" si="5"/>
        <v>1800</v>
      </c>
      <c r="N63" s="36">
        <v>550</v>
      </c>
      <c r="O63" s="36">
        <v>21</v>
      </c>
      <c r="P63" s="37">
        <f t="shared" si="6"/>
        <v>34650</v>
      </c>
      <c r="Q63" s="81">
        <f t="shared" si="7"/>
        <v>36450</v>
      </c>
      <c r="R63" s="37"/>
      <c r="S63" s="37"/>
      <c r="T63" s="37">
        <f t="shared" si="14"/>
        <v>32475</v>
      </c>
      <c r="U63" s="37">
        <f t="shared" si="1"/>
        <v>32475</v>
      </c>
      <c r="V63" s="37">
        <f t="shared" si="2"/>
        <v>64950</v>
      </c>
      <c r="W63" s="37"/>
    </row>
    <row r="64" spans="1:23" s="26" customFormat="1" ht="15" customHeight="1">
      <c r="A64" s="36">
        <v>31</v>
      </c>
      <c r="B64" s="51"/>
      <c r="C64" s="4" t="s">
        <v>38</v>
      </c>
      <c r="D64" s="67">
        <v>16000</v>
      </c>
      <c r="E64" s="67">
        <v>48600</v>
      </c>
      <c r="F64" s="67">
        <v>22000</v>
      </c>
      <c r="H64" s="36">
        <v>4</v>
      </c>
      <c r="I64" s="36">
        <v>200</v>
      </c>
      <c r="J64" s="36">
        <f t="shared" si="16"/>
        <v>20</v>
      </c>
      <c r="K64" s="81">
        <f t="shared" si="3"/>
        <v>16000</v>
      </c>
      <c r="L64" s="36">
        <f t="shared" si="4"/>
        <v>600</v>
      </c>
      <c r="M64" s="36">
        <f t="shared" si="5"/>
        <v>2400</v>
      </c>
      <c r="N64" s="36">
        <v>550</v>
      </c>
      <c r="O64" s="36">
        <v>21</v>
      </c>
      <c r="P64" s="37">
        <f t="shared" si="6"/>
        <v>46200</v>
      </c>
      <c r="Q64" s="81">
        <f t="shared" si="7"/>
        <v>48600</v>
      </c>
      <c r="R64" s="37"/>
      <c r="S64" s="37"/>
      <c r="T64" s="37">
        <f t="shared" si="14"/>
        <v>43300</v>
      </c>
      <c r="U64" s="37">
        <f t="shared" si="1"/>
        <v>43300</v>
      </c>
      <c r="V64" s="37">
        <f t="shared" si="2"/>
        <v>86600</v>
      </c>
      <c r="W64" s="37"/>
    </row>
    <row r="65" spans="1:23" s="26" customFormat="1" ht="15">
      <c r="A65" s="36">
        <v>32</v>
      </c>
      <c r="B65" s="51"/>
      <c r="C65" s="4" t="s">
        <v>39</v>
      </c>
      <c r="D65" s="67">
        <v>16000</v>
      </c>
      <c r="E65" s="67">
        <v>48600</v>
      </c>
      <c r="F65" s="67">
        <v>22000</v>
      </c>
      <c r="H65" s="36">
        <v>4</v>
      </c>
      <c r="I65" s="36">
        <v>200</v>
      </c>
      <c r="J65" s="36">
        <f t="shared" si="16"/>
        <v>20</v>
      </c>
      <c r="K65" s="81">
        <f t="shared" si="3"/>
        <v>16000</v>
      </c>
      <c r="L65" s="36">
        <f t="shared" si="4"/>
        <v>600</v>
      </c>
      <c r="M65" s="36">
        <f t="shared" si="5"/>
        <v>2400</v>
      </c>
      <c r="N65" s="36">
        <v>550</v>
      </c>
      <c r="O65" s="36">
        <v>21</v>
      </c>
      <c r="P65" s="37">
        <f t="shared" si="6"/>
        <v>46200</v>
      </c>
      <c r="Q65" s="81">
        <f t="shared" si="7"/>
        <v>48600</v>
      </c>
      <c r="R65" s="37"/>
      <c r="S65" s="37"/>
      <c r="T65" s="37">
        <f t="shared" si="14"/>
        <v>43300</v>
      </c>
      <c r="U65" s="37">
        <f t="shared" si="1"/>
        <v>43300</v>
      </c>
      <c r="V65" s="37">
        <f t="shared" si="2"/>
        <v>86600</v>
      </c>
      <c r="W65" s="37"/>
    </row>
    <row r="66" spans="1:23" s="56" customFormat="1" ht="15">
      <c r="A66" s="55">
        <v>33</v>
      </c>
      <c r="B66" s="51"/>
      <c r="C66" s="18" t="s">
        <v>12</v>
      </c>
      <c r="D66" s="68">
        <v>40000</v>
      </c>
      <c r="E66" s="68">
        <v>121500</v>
      </c>
      <c r="F66" s="68">
        <v>55000</v>
      </c>
      <c r="H66" s="63">
        <v>10</v>
      </c>
      <c r="I66" s="36">
        <v>200</v>
      </c>
      <c r="J66" s="36">
        <f t="shared" si="16"/>
        <v>20</v>
      </c>
      <c r="K66" s="81">
        <f t="shared" si="3"/>
        <v>40000</v>
      </c>
      <c r="L66" s="36">
        <f t="shared" si="4"/>
        <v>600</v>
      </c>
      <c r="M66" s="36">
        <f t="shared" si="5"/>
        <v>6000</v>
      </c>
      <c r="N66" s="36">
        <v>550</v>
      </c>
      <c r="O66" s="36">
        <v>21</v>
      </c>
      <c r="P66" s="37">
        <f t="shared" si="6"/>
        <v>115500</v>
      </c>
      <c r="Q66" s="81">
        <f t="shared" si="7"/>
        <v>121500</v>
      </c>
      <c r="R66" s="37"/>
      <c r="S66" s="37"/>
      <c r="T66" s="37">
        <f t="shared" si="14"/>
        <v>108250</v>
      </c>
      <c r="U66" s="37">
        <f t="shared" si="1"/>
        <v>108250</v>
      </c>
      <c r="V66" s="37">
        <f t="shared" si="2"/>
        <v>216500</v>
      </c>
      <c r="W66" s="37"/>
    </row>
    <row r="67" spans="1:23" s="56" customFormat="1" ht="15" customHeight="1">
      <c r="A67" s="55">
        <v>34</v>
      </c>
      <c r="B67" s="51"/>
      <c r="C67" s="18" t="s">
        <v>21</v>
      </c>
      <c r="D67" s="68">
        <v>56000</v>
      </c>
      <c r="E67" s="68">
        <v>170100</v>
      </c>
      <c r="F67" s="68">
        <v>77000</v>
      </c>
      <c r="H67" s="63">
        <v>14</v>
      </c>
      <c r="I67" s="36">
        <v>200</v>
      </c>
      <c r="J67" s="36">
        <f t="shared" si="16"/>
        <v>20</v>
      </c>
      <c r="K67" s="81">
        <f t="shared" si="3"/>
        <v>56000</v>
      </c>
      <c r="L67" s="36">
        <f t="shared" si="4"/>
        <v>600</v>
      </c>
      <c r="M67" s="36">
        <f t="shared" si="5"/>
        <v>8400</v>
      </c>
      <c r="N67" s="36">
        <v>550</v>
      </c>
      <c r="O67" s="36">
        <v>21</v>
      </c>
      <c r="P67" s="37">
        <f t="shared" si="6"/>
        <v>161700</v>
      </c>
      <c r="Q67" s="81">
        <f t="shared" si="7"/>
        <v>170100</v>
      </c>
      <c r="R67" s="37"/>
      <c r="S67" s="37"/>
      <c r="T67" s="37">
        <f t="shared" si="14"/>
        <v>151550</v>
      </c>
      <c r="U67" s="37">
        <f t="shared" si="1"/>
        <v>151550</v>
      </c>
      <c r="V67" s="37">
        <f t="shared" si="2"/>
        <v>303100</v>
      </c>
      <c r="W67" s="37"/>
    </row>
    <row r="68" spans="1:23" s="57" customFormat="1" ht="15" customHeight="1">
      <c r="A68" s="168" t="s">
        <v>4</v>
      </c>
      <c r="B68" s="169"/>
      <c r="C68" s="170"/>
      <c r="D68" s="75">
        <f>SUM(D34:D67)</f>
        <v>948000</v>
      </c>
      <c r="E68" s="75">
        <f>SUM(E34:E67)</f>
        <v>2879550</v>
      </c>
      <c r="F68" s="75">
        <f>SUM(F34:F67)</f>
        <v>1303500</v>
      </c>
      <c r="G68" s="140">
        <v>293295000</v>
      </c>
      <c r="H68" s="140">
        <f aca="true" t="shared" si="17" ref="H68:Q68">SUM(H34:H67)</f>
        <v>237</v>
      </c>
      <c r="I68" s="140">
        <f t="shared" si="17"/>
        <v>6800</v>
      </c>
      <c r="J68" s="140">
        <f t="shared" si="17"/>
        <v>640</v>
      </c>
      <c r="K68" s="140">
        <f t="shared" si="17"/>
        <v>948000</v>
      </c>
      <c r="L68" s="140">
        <f t="shared" si="17"/>
        <v>20400</v>
      </c>
      <c r="M68" s="140">
        <f t="shared" si="17"/>
        <v>142200</v>
      </c>
      <c r="N68" s="140">
        <f t="shared" si="17"/>
        <v>18700</v>
      </c>
      <c r="O68" s="140">
        <f t="shared" si="17"/>
        <v>714</v>
      </c>
      <c r="P68" s="140">
        <f t="shared" si="17"/>
        <v>2737350</v>
      </c>
      <c r="Q68" s="140">
        <f t="shared" si="17"/>
        <v>2879550</v>
      </c>
      <c r="R68" s="140">
        <f aca="true" t="shared" si="18" ref="R68:W68">SUM(R34:R67)</f>
        <v>0</v>
      </c>
      <c r="S68" s="140">
        <f t="shared" si="18"/>
        <v>0</v>
      </c>
      <c r="T68" s="23">
        <f t="shared" si="18"/>
        <v>2565525</v>
      </c>
      <c r="U68" s="23">
        <f t="shared" si="18"/>
        <v>2565525</v>
      </c>
      <c r="V68" s="23">
        <f t="shared" si="18"/>
        <v>5131050</v>
      </c>
      <c r="W68" s="23">
        <f t="shared" si="18"/>
        <v>0</v>
      </c>
    </row>
    <row r="69" spans="1:23" s="1" customFormat="1" ht="27" customHeight="1">
      <c r="A69" s="171" t="s">
        <v>8</v>
      </c>
      <c r="B69" s="172"/>
      <c r="C69" s="173"/>
      <c r="D69" s="76">
        <f>D33+D68</f>
        <v>948000</v>
      </c>
      <c r="E69" s="76">
        <f>E33+E68</f>
        <v>2879550</v>
      </c>
      <c r="F69" s="76">
        <f>F33+F68</f>
        <v>1303500</v>
      </c>
      <c r="G69" s="93">
        <f>G33+G68</f>
        <v>348845600</v>
      </c>
      <c r="H69" s="93">
        <f aca="true" t="shared" si="19" ref="H69:Q69">H33+H68</f>
        <v>293</v>
      </c>
      <c r="I69" s="93">
        <f t="shared" si="19"/>
        <v>11400</v>
      </c>
      <c r="J69" s="93">
        <f t="shared" si="19"/>
        <v>700</v>
      </c>
      <c r="K69" s="93">
        <f t="shared" si="19"/>
        <v>996000</v>
      </c>
      <c r="L69" s="93">
        <f t="shared" si="19"/>
        <v>34200</v>
      </c>
      <c r="M69" s="93">
        <f t="shared" si="19"/>
        <v>175800</v>
      </c>
      <c r="N69" s="93">
        <f t="shared" si="19"/>
        <v>31350</v>
      </c>
      <c r="O69" s="93">
        <f t="shared" si="19"/>
        <v>1197</v>
      </c>
      <c r="P69" s="93">
        <f t="shared" si="19"/>
        <v>3384150</v>
      </c>
      <c r="Q69" s="93">
        <f t="shared" si="19"/>
        <v>3559950</v>
      </c>
      <c r="R69" s="93">
        <f aca="true" t="shared" si="20" ref="R69:W69">R33+R68</f>
        <v>0</v>
      </c>
      <c r="S69" s="93">
        <f t="shared" si="20"/>
        <v>0</v>
      </c>
      <c r="T69" s="35">
        <f t="shared" si="20"/>
        <v>2565525</v>
      </c>
      <c r="U69" s="35">
        <f t="shared" si="20"/>
        <v>2565525</v>
      </c>
      <c r="V69" s="35">
        <f t="shared" si="20"/>
        <v>5131050</v>
      </c>
      <c r="W69" s="35">
        <f t="shared" si="20"/>
        <v>0</v>
      </c>
    </row>
    <row r="70" ht="15" customHeight="1"/>
    <row r="71" ht="15" customHeight="1"/>
    <row r="72" spans="7:19" ht="15">
      <c r="G72" s="24"/>
      <c r="H72" s="24"/>
      <c r="I72" s="24"/>
      <c r="J72" s="24"/>
      <c r="K72" s="66"/>
      <c r="L72" s="24"/>
      <c r="M72" s="24"/>
      <c r="N72" s="24"/>
      <c r="O72" s="24"/>
      <c r="P72" s="66"/>
      <c r="Q72" s="66"/>
      <c r="R72" s="66"/>
      <c r="S72" s="66"/>
    </row>
    <row r="73" spans="3:6" ht="15">
      <c r="C73" s="25">
        <v>41122293.199</v>
      </c>
      <c r="D73" s="27">
        <f>D6+D7+D8+D9+D10+D11+D12+D13+D14+D15+D16+D17+D18+D24+D25+D26+D27+D28+D29+D30</f>
        <v>0</v>
      </c>
      <c r="E73" s="27">
        <f>E6+E7+E8+E9+E10+E11+E12+E13+E14+E15+E16+E17+E18+E24+E25+E26+E27+E28+E29+E30</f>
        <v>0</v>
      </c>
      <c r="F73" s="27">
        <f>F6+F7+F8+F9+F10+F11+F12+F13+F14+F15+F16+F17+F18+F24+F25+F26+F27+F28+F29+F30</f>
        <v>0</v>
      </c>
    </row>
    <row r="74" spans="3:6" ht="15">
      <c r="C74" s="25">
        <v>18838524.064840004</v>
      </c>
      <c r="D74" s="27">
        <f>D19+D20+D21+D22+D31</f>
        <v>0</v>
      </c>
      <c r="E74" s="27">
        <f>E19+E20+E21+E22+E31</f>
        <v>0</v>
      </c>
      <c r="F74" s="27">
        <f>F19+F20+F21+F22+F31</f>
        <v>0</v>
      </c>
    </row>
    <row r="75" spans="3:19" ht="15">
      <c r="C75" s="25">
        <v>59960817.263840005</v>
      </c>
      <c r="D75" s="120">
        <f>D73+D74</f>
        <v>0</v>
      </c>
      <c r="E75" s="120">
        <f>E73+E74</f>
        <v>0</v>
      </c>
      <c r="F75" s="120">
        <f>F73+F74</f>
        <v>0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4:6" ht="15">
      <c r="D76" s="27">
        <f>D34+D35+D36+D37+D38+D39+D40+D41+D42+D43+D44+D45+D46+D47+D48+D49+D50+D51+D52+D53+D54+D55+D56+D57+D58+D59+D60+D61+D62+D63+D64+D65</f>
        <v>852000</v>
      </c>
      <c r="E76" s="27">
        <f>E34+E35+E36+E37+E38+E39+E40+E41+E42+E43+E44+E45+E46+E47+E48+E49+E50+E51+E52+E53+E54+E55+E56+E57+E58+E59+E60+E61+E62+E63+E64+E65</f>
        <v>2587950</v>
      </c>
      <c r="F76" s="27">
        <f>F34+F35+F36+F37+F38+F39+F40+F41+F42+F43+F44+F45+F46+F47+F48+F49+F50+F51+F52+F53+F54+F55+F56+F57+F58+F59+F60+F61+F62+F63+F64+F65</f>
        <v>1171500</v>
      </c>
    </row>
    <row r="77" spans="4:6" ht="15">
      <c r="D77" s="27">
        <f>D66+D67</f>
        <v>96000</v>
      </c>
      <c r="E77" s="27">
        <f>E66+E67</f>
        <v>291600</v>
      </c>
      <c r="F77" s="27">
        <f>F66+F67</f>
        <v>132000</v>
      </c>
    </row>
    <row r="78" spans="4:19" ht="15">
      <c r="D78" s="120">
        <f>D76+D77</f>
        <v>948000</v>
      </c>
      <c r="E78" s="120">
        <f>E76+E77</f>
        <v>2879550</v>
      </c>
      <c r="F78" s="120">
        <f>F76+F77</f>
        <v>1303500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7:15" ht="15">
      <c r="G79" s="6"/>
      <c r="H79" s="6"/>
      <c r="I79" s="6"/>
      <c r="J79" s="6"/>
      <c r="L79" s="6"/>
      <c r="M79" s="6"/>
      <c r="N79" s="6"/>
      <c r="O79" s="6"/>
    </row>
    <row r="81" ht="15">
      <c r="C81" s="6" t="e">
        <f>C75-#REF!</f>
        <v>#REF!</v>
      </c>
    </row>
  </sheetData>
  <sheetProtection/>
  <mergeCells count="12">
    <mergeCell ref="I4:K4"/>
    <mergeCell ref="L4:M4"/>
    <mergeCell ref="N4:P4"/>
    <mergeCell ref="D1:F1"/>
    <mergeCell ref="H3:Q3"/>
    <mergeCell ref="T4:V4"/>
    <mergeCell ref="A33:C33"/>
    <mergeCell ref="A68:C68"/>
    <mergeCell ref="A69:C69"/>
    <mergeCell ref="A23:C23"/>
    <mergeCell ref="A32:C32"/>
    <mergeCell ref="F4:F5"/>
  </mergeCells>
  <printOptions/>
  <pageMargins left="0.1968503937007874" right="0.15748031496062992" top="0.2362204724409449" bottom="0.35433070866141736" header="0.1968503937007874" footer="0.275590551181102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 РМК</cp:lastModifiedBy>
  <cp:lastPrinted>2023-01-10T06:54:32Z</cp:lastPrinted>
  <dcterms:created xsi:type="dcterms:W3CDTF">2014-02-10T11:19:24Z</dcterms:created>
  <dcterms:modified xsi:type="dcterms:W3CDTF">2023-01-17T04:48:17Z</dcterms:modified>
  <cp:category/>
  <cp:version/>
  <cp:contentType/>
  <cp:contentStatus/>
</cp:coreProperties>
</file>